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71_総合事業事業者指定\加算関係\処遇改善\R6様式\"/>
    </mc:Choice>
  </mc:AlternateContent>
  <bookViews>
    <workbookView xWindow="0" yWindow="0" windowWidth="20490" windowHeight="753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<sst xmlns="http://schemas.openxmlformats.org/spreadsheetml/2006/main" count="6878" uniqueCount="2437">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</sst>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6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77" fillId="2" borderId="142"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4"/>
              <a:chOff x="4479758" y="4496301"/>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2"/>
              <a:chOff x="4549825" y="5456607"/>
              <a:chExt cx="308371" cy="762885"/>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97"/>
              <a:chOff x="5763126" y="8931932"/>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82"/>
              <a:ext cx="304800" cy="638169"/>
              <a:chOff x="4549825" y="6438934"/>
              <a:chExt cx="308371" cy="779256"/>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5" y="8154126"/>
              <a:ext cx="220580" cy="694604"/>
              <a:chOff x="5767611" y="8168777"/>
              <a:chExt cx="217571" cy="79244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15" y="8146765"/>
              <a:ext cx="200247" cy="744691"/>
              <a:chOff x="4538959" y="8166077"/>
              <a:chExt cx="208607" cy="74976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59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6"/>
              <a:ext cx="304800" cy="698084"/>
              <a:chOff x="4549825" y="5456623"/>
              <a:chExt cx="308371" cy="762878"/>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3"/>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8"/>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41"/>
              <a:ext cx="304800" cy="371484"/>
              <a:chOff x="5763126" y="8931958"/>
              <a:chExt cx="301792" cy="49474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8"/>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80"/>
              <a:ext cx="304800" cy="638165"/>
              <a:chOff x="4549825" y="6438968"/>
              <a:chExt cx="308371" cy="779243"/>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8"/>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17"/>
              <a:ext cx="220586" cy="694585"/>
              <a:chOff x="5767502" y="8168725"/>
              <a:chExt cx="217632" cy="79255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4" y="8168725"/>
                <a:ext cx="217070"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2" y="8723157"/>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07"/>
              <a:chOff x="4538988" y="8166007"/>
              <a:chExt cx="208651" cy="749814"/>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28" y="816600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88" y="864070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46" y="730525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6" y="730525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1" y="777552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62"/>
              <a:chExt cx="303832" cy="48690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2"/>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84"/>
              <a:chExt cx="301792" cy="78007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921"/>
              <a:chExt cx="301792" cy="49475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2"/>
              <a:chExt cx="308371" cy="779275"/>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2" y="8168788"/>
              <a:chExt cx="217567"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8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2"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58" y="8166035"/>
              <a:chExt cx="208649" cy="74982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8" y="816603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3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59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4"/>
              <a:chOff x="4479758" y="4496301"/>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2"/>
              <a:chOff x="4549825" y="5456607"/>
              <a:chExt cx="308371" cy="762885"/>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97"/>
              <a:chOff x="5763126" y="8931932"/>
              <a:chExt cx="301792" cy="49479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82"/>
              <a:ext cx="304800" cy="638169"/>
              <a:chOff x="4549825" y="6438934"/>
              <a:chExt cx="308371" cy="779256"/>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5" y="8154126"/>
              <a:ext cx="220580" cy="694604"/>
              <a:chOff x="5767611" y="8168777"/>
              <a:chExt cx="217571" cy="79244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15" y="8146765"/>
              <a:ext cx="200247" cy="744691"/>
              <a:chOff x="4538959" y="8166077"/>
              <a:chExt cx="208607" cy="74976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4"/>
              <a:chOff x="4479758" y="4496301"/>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2"/>
              <a:chOff x="4549825" y="5456607"/>
              <a:chExt cx="308371" cy="762885"/>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97"/>
              <a:chOff x="5763126" y="8931932"/>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82"/>
              <a:ext cx="304800" cy="638169"/>
              <a:chOff x="4549825" y="6438934"/>
              <a:chExt cx="308371" cy="779256"/>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5" y="8154126"/>
              <a:ext cx="220580" cy="694604"/>
              <a:chOff x="5767611" y="8168777"/>
              <a:chExt cx="217571" cy="79244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15" y="8146765"/>
              <a:ext cx="200247" cy="744691"/>
              <a:chOff x="4538959" y="8166077"/>
              <a:chExt cx="208607" cy="74976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59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4"/>
              <a:chOff x="4479758" y="4496301"/>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2"/>
              <a:chOff x="4549825" y="5456607"/>
              <a:chExt cx="308371" cy="762885"/>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97"/>
              <a:chOff x="5763126" y="8931932"/>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82"/>
              <a:ext cx="304800" cy="638169"/>
              <a:chOff x="4549825" y="6438934"/>
              <a:chExt cx="308371" cy="779256"/>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5" y="8154126"/>
              <a:ext cx="220580" cy="694604"/>
              <a:chOff x="5767611" y="8168777"/>
              <a:chExt cx="217571" cy="79244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15" y="8146765"/>
              <a:ext cx="200247" cy="744691"/>
              <a:chOff x="4538959" y="8166077"/>
              <a:chExt cx="208607" cy="74976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59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4"/>
              <a:chOff x="4479758" y="4496301"/>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2"/>
              <a:chOff x="4549825" y="5456607"/>
              <a:chExt cx="308371" cy="762885"/>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97"/>
              <a:chOff x="5763126" y="8931932"/>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82"/>
              <a:ext cx="304800" cy="638169"/>
              <a:chOff x="4549825" y="6438934"/>
              <a:chExt cx="308371" cy="779256"/>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5" y="8154126"/>
              <a:ext cx="220580" cy="694604"/>
              <a:chOff x="5767611" y="8168777"/>
              <a:chExt cx="217571" cy="79244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15" y="8146765"/>
              <a:ext cx="200247" cy="744691"/>
              <a:chOff x="4538959" y="8166077"/>
              <a:chExt cx="208607" cy="74976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59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4"/>
              <a:chOff x="4479758" y="4496301"/>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2"/>
              <a:chOff x="4549825" y="5456607"/>
              <a:chExt cx="308371" cy="762885"/>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97"/>
              <a:chOff x="5763126" y="8931932"/>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82"/>
              <a:ext cx="304800" cy="638169"/>
              <a:chOff x="4549825" y="6438934"/>
              <a:chExt cx="308371" cy="779256"/>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5" y="8154126"/>
              <a:ext cx="220580" cy="694604"/>
              <a:chOff x="5767611" y="8168777"/>
              <a:chExt cx="217571" cy="79244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15" y="8146765"/>
              <a:ext cx="200247" cy="744691"/>
              <a:chOff x="4538959" y="8166077"/>
              <a:chExt cx="208607" cy="74976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59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4"/>
              <a:chOff x="4479758" y="4496301"/>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2"/>
              <a:chOff x="4549825" y="5456607"/>
              <a:chExt cx="308371" cy="762885"/>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97"/>
              <a:chOff x="5763126" y="8931932"/>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82"/>
              <a:ext cx="304800" cy="638169"/>
              <a:chOff x="4549825" y="6438934"/>
              <a:chExt cx="308371" cy="779256"/>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5" y="8154126"/>
              <a:ext cx="220580" cy="694604"/>
              <a:chOff x="5767611" y="8168777"/>
              <a:chExt cx="217571" cy="79244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15" y="8146765"/>
              <a:ext cx="200247" cy="744691"/>
              <a:chOff x="4538959" y="8166077"/>
              <a:chExt cx="208607" cy="74976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59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4"/>
              <a:chOff x="4479758" y="4496301"/>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2"/>
              <a:chOff x="4549825" y="5456607"/>
              <a:chExt cx="308371" cy="762885"/>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97"/>
              <a:chOff x="5763126" y="8931932"/>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82"/>
              <a:ext cx="304800" cy="638169"/>
              <a:chOff x="4549825" y="6438934"/>
              <a:chExt cx="308371" cy="779256"/>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4"/>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5" y="8154126"/>
              <a:ext cx="220580" cy="694604"/>
              <a:chOff x="5767611" y="8168777"/>
              <a:chExt cx="217571" cy="79244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9"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1" y="872309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15" y="8146765"/>
              <a:ext cx="200247" cy="744691"/>
              <a:chOff x="4538959" y="8166077"/>
              <a:chExt cx="208607" cy="74976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7" y="8166077"/>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59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12781520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6008224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10581520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3808224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17"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2429</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2430</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8" ht="15.95" customHeight="1">
      <c r="U58" s="1033" t="s">
        <v>2204</v>
      </c>
      <c r="V58" s="1033"/>
      <c r="W58" s="1033"/>
      <c r="X58" s="1033"/>
      <c r="Y58" s="1033"/>
      <c r="Z58" s="532"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33" t="s">
        <v>2205</v>
      </c>
      <c r="V59" s="1033"/>
      <c r="W59" s="1033"/>
      <c r="X59" s="1033"/>
      <c r="Y59" s="1033"/>
      <c r="Z59" s="532"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33" t="s">
        <v>2206</v>
      </c>
      <c r="V60" s="1033"/>
      <c r="W60" s="1033"/>
      <c r="X60" s="1033"/>
      <c r="Y60" s="1033"/>
      <c r="Z60" s="532"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33" t="s">
        <v>2207</v>
      </c>
      <c r="V61" s="1033"/>
      <c r="W61" s="1033"/>
      <c r="X61" s="1033"/>
      <c r="Y61" s="1033"/>
      <c r="Z61" s="532"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8" ht="15.95" customHeight="1">
      <c r="U62" s="1033" t="s">
        <v>2208</v>
      </c>
      <c r="V62" s="1033"/>
      <c r="W62" s="1033"/>
      <c r="X62" s="1033"/>
      <c r="Y62" s="1033"/>
      <c r="Z62" s="532"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2291</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1334567890</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11.4</v>
      </c>
      <c r="Q5" s="1085"/>
      <c r="R5" s="1085"/>
      <c r="S5" s="1086" t="s">
        <v>7</v>
      </c>
      <c r="T5" s="1087"/>
      <c r="U5" s="1087"/>
      <c r="V5" s="1087"/>
      <c r="W5" s="1087"/>
      <c r="X5" s="1088"/>
      <c r="Y5" s="1070" t="s">
        <v>260</v>
      </c>
      <c r="Z5" s="1070"/>
      <c r="AA5" s="1070"/>
      <c r="AB5" s="1070"/>
      <c r="AC5" s="1070"/>
      <c r="AD5" s="1070"/>
      <c r="AE5" s="1038">
        <v>225000</v>
      </c>
      <c r="AF5" s="1039"/>
      <c r="AG5" s="1039"/>
      <c r="AH5" s="1040"/>
      <c r="AI5" s="1038">
        <v>40000</v>
      </c>
      <c r="AJ5" s="1039"/>
      <c r="AK5" s="1039"/>
      <c r="AL5" s="1040"/>
      <c r="AM5" s="1041">
        <f>AE5-AI5</f>
        <v>185000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補助金を取得する場合、４月からベア加算の算定が必要。その場合、６月以降は自然と新加算Ⅱに移行可能。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9</v>
      </c>
      <c r="C9" s="1095"/>
      <c r="D9" s="1095"/>
      <c r="E9" s="1095"/>
      <c r="F9" s="1096"/>
      <c r="G9" s="1097" t="s">
        <v>10</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0.224</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0.13700000000000001</v>
      </c>
      <c r="C10" s="1106"/>
      <c r="D10" s="1106"/>
      <c r="E10" s="1106"/>
      <c r="F10" s="1107"/>
      <c r="G10" s="1105">
        <f>IFERROR(VLOOKUP(Y5,【参考】数式用!$A$5:$J$27,MATCH(G9,【参考】数式用!$B$4:$J$4,0)+1,0),"")</f>
        <v>4.2000000000000003E-2</v>
      </c>
      <c r="H10" s="1106"/>
      <c r="I10" s="1106"/>
      <c r="J10" s="1106"/>
      <c r="K10" s="1107"/>
      <c r="L10" s="1105">
        <f>IFERROR(VLOOKUP(Y5,【参考】数式用!$A$5:$J$27,MATCH(L9,【参考】数式用!$B$4:$J$4,0)+1,0),"")</f>
        <v>0</v>
      </c>
      <c r="M10" s="1106"/>
      <c r="N10" s="1106"/>
      <c r="O10" s="1106"/>
      <c r="P10" s="1107"/>
      <c r="Q10" s="1111">
        <f>SUM(B10,G10,L10)</f>
        <v>0.17900000000000002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新加算Ⅴ(３)</v>
      </c>
      <c r="W11" s="1060"/>
      <c r="X11" s="1060"/>
      <c r="Y11" s="1060"/>
      <c r="Z11" s="1060"/>
      <c r="AA11" s="1034" t="str">
        <f>IFERROR(VLOOKUP(AS1,【参考】数式用2!E6:L23,6,FALSE),"")</f>
        <v>４月からベア加算を算定せず、６月から月額賃金改善要件Ⅱも満たさない場合、Ⅴ(３)となる。なお、R7年度以降は月額賃金改善要件Ⅱが必要。</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0.2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202"/>
      <c r="V14" s="1060" t="str">
        <f>IFERROR(IF(VLOOKUP(AS1,【参考】数式用2!E6:L23,7,FALSE)="","",VLOOKUP(AS1,【参考】数式用2!E6:L23,7,FALSE)),"")</f>
        <v/>
      </c>
      <c r="W14" s="1060"/>
      <c r="X14" s="1060"/>
      <c r="Y14" s="1060"/>
      <c r="Z14" s="1060"/>
      <c r="AA14" s="1044">
        <f>IFERROR(VLOOKUP(AS1,【参考】数式用2!E6:L23,8,FALSE),"")</f>
        <v>0</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203" t="s">
        <v>2283</v>
      </c>
      <c r="F15" s="147">
        <v>4</v>
      </c>
      <c r="G15" s="203" t="s">
        <v>2284</v>
      </c>
      <c r="H15" s="1115" t="s">
        <v>2285</v>
      </c>
      <c r="I15" s="1115"/>
      <c r="J15" s="1128"/>
      <c r="K15" s="147">
        <v>7</v>
      </c>
      <c r="L15" s="203" t="s">
        <v>2283</v>
      </c>
      <c r="M15" s="147">
        <v>3</v>
      </c>
      <c r="N15" s="203" t="s">
        <v>2284</v>
      </c>
      <c r="O15" s="203" t="s">
        <v>2286</v>
      </c>
      <c r="P15" s="204">
        <f>(K15*12+M15)-(D15*12+F15)+1</f>
        <v>12</v>
      </c>
      <c r="Q15" s="1115" t="s">
        <v>2287</v>
      </c>
      <c r="R15" s="1115"/>
      <c r="S15" s="205" t="s">
        <v>74</v>
      </c>
      <c r="U15" s="202"/>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219"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219"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023"/>
      <c r="C25" s="1024"/>
      <c r="D25" s="1024"/>
      <c r="E25" s="1024"/>
      <c r="F25" s="1025"/>
      <c r="G25" s="1045"/>
      <c r="H25" s="1046"/>
      <c r="I25" s="1046"/>
      <c r="J25" s="1046"/>
      <c r="K25" s="1046"/>
      <c r="L25" s="1046"/>
      <c r="M25" s="1046"/>
      <c r="N25" s="1046"/>
      <c r="O25" s="1046"/>
      <c r="P25" s="1046"/>
      <c r="Q25" s="1046"/>
      <c r="R25" s="1046"/>
      <c r="S25" s="1046"/>
      <c r="T25" s="1064"/>
      <c r="U25" s="218"/>
      <c r="V25" s="219"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219"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219"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219"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219"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219" t="str">
        <f>IFERROR(IF(B9="処遇加算Ⅰ","✓",""),"")</f>
        <v>✓</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219"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219" t="str">
        <f>IFERROR(IF(OR(G9="特定加算Ⅰ",G9="特定加算Ⅱ"),"✓",""),"")</f>
        <v>✓</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219"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9" t="s">
        <v>2223</v>
      </c>
      <c r="C40" s="1019"/>
      <c r="D40" s="1019"/>
      <c r="E40" s="1019"/>
      <c r="F40" s="1019"/>
      <c r="G40" s="1029" t="str">
        <f>IFERROR(VLOOKUP(Y5,【参考】数式用!AS5:AT27,2,0),"")</f>
        <v>　特定事業所加算ⅠまたはⅡを算定する。</v>
      </c>
      <c r="H40" s="1029"/>
      <c r="I40" s="1029"/>
      <c r="J40" s="1029"/>
      <c r="K40" s="1029"/>
      <c r="L40" s="1029"/>
      <c r="M40" s="1029"/>
      <c r="N40" s="1029"/>
      <c r="O40" s="1029"/>
      <c r="P40" s="1029"/>
      <c r="Q40" s="1029"/>
      <c r="R40" s="1029"/>
      <c r="S40" s="1029"/>
      <c r="T40" s="1029"/>
      <c r="U40" s="192"/>
      <c r="V40" s="219"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219"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219" t="str">
        <f>IFERROR(IF(OR(G9="特定加算Ⅰ",G9="特定加算Ⅱ"),"✓",""),"")</f>
        <v>✓</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219"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11">
        <f>SUM(G50,L50,Q50)</f>
        <v>0.20300000000000001</v>
      </c>
      <c r="W50" s="1112"/>
      <c r="X50" s="1112"/>
      <c r="Y50" s="1112"/>
      <c r="Z50" s="1112"/>
      <c r="AA50" s="1068"/>
      <c r="AB50" s="1068"/>
      <c r="AC50" s="1161">
        <f>IFERROR(VLOOKUP(Y5,【参考】数式用!$A$5:$AB$27,MATCH(AC49,【参考】数式用!$B$4:$AB$4,0)+1,FALSE),"")</f>
        <v>0.224</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577866</v>
      </c>
      <c r="H51" s="1130"/>
      <c r="I51" s="1130"/>
      <c r="J51" s="1130"/>
      <c r="K51" s="148" t="s">
        <v>2289</v>
      </c>
      <c r="L51" s="1129">
        <f>IFERROR(ROUNDDOWN(ROUND(AM5*L50,0)*P5,0)*H53,"")</f>
        <v>177156</v>
      </c>
      <c r="M51" s="1130"/>
      <c r="N51" s="1130"/>
      <c r="O51" s="1130"/>
      <c r="P51" s="148" t="s">
        <v>2289</v>
      </c>
      <c r="Q51" s="1129">
        <f>IFERROR(ROUNDDOWN(ROUND(AM5*Q50,0)*P5,0)*H53,"")</f>
        <v>101232</v>
      </c>
      <c r="R51" s="1130"/>
      <c r="S51" s="1130"/>
      <c r="T51" s="1130"/>
      <c r="U51" s="149" t="s">
        <v>2289</v>
      </c>
      <c r="V51" s="1136">
        <f>IFERROR(SUM(G51,L51,Q51),"")</f>
        <v>856254</v>
      </c>
      <c r="W51" s="1137"/>
      <c r="X51" s="1137"/>
      <c r="Y51" s="1137"/>
      <c r="Z51" s="150" t="s">
        <v>2289</v>
      </c>
      <c r="AB51" s="151"/>
      <c r="AC51" s="1129">
        <f>IFERROR(ROUNDDOWN(ROUND(AM5*AC50,0)*P5,0)*AD53,"")</f>
        <v>4724160</v>
      </c>
      <c r="AD51" s="1130"/>
      <c r="AE51" s="1130"/>
      <c r="AF51" s="1130"/>
      <c r="AG51" s="1130"/>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(288,933円/月)</v>
      </c>
      <c r="H52" s="1072"/>
      <c r="I52" s="1072"/>
      <c r="J52" s="1072"/>
      <c r="K52" s="1072"/>
      <c r="L52" s="1072" t="str">
        <f>IFERROR("("&amp;TEXT(L51/H53,"#,##0円")&amp;"/月)","")</f>
        <v>(88,578円/月)</v>
      </c>
      <c r="M52" s="1072"/>
      <c r="N52" s="1072"/>
      <c r="O52" s="1072"/>
      <c r="P52" s="1072"/>
      <c r="Q52" s="1072" t="str">
        <f>IFERROR("("&amp;TEXT(Q51/H53,"#,##0円")&amp;"/月)","")</f>
        <v>(50,616円/月)</v>
      </c>
      <c r="R52" s="1072"/>
      <c r="S52" s="1072"/>
      <c r="T52" s="1072"/>
      <c r="U52" s="1072"/>
      <c r="V52" s="1072" t="str">
        <f>IFERROR("("&amp;TEXT(V51/H53,"#,##0円")&amp;"/月)","")</f>
        <v>(428,127円/月)</v>
      </c>
      <c r="W52" s="1072"/>
      <c r="X52" s="1072"/>
      <c r="Y52" s="1072"/>
      <c r="Z52" s="1072"/>
      <c r="AB52" s="151"/>
      <c r="AC52" s="1131" t="str">
        <f>IFERROR("("&amp;TEXT(AC51/AD53,"#,##0円")&amp;"/月)","")</f>
        <v>(472,416円/月)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252">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252">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252">
        <f>IF(AND(B9&lt;&gt;"処遇加算なし",F15=4),IF(V32="✓",1,IF(V33="✓",2,"")),"")</f>
        <v>1</v>
      </c>
      <c r="AA60" s="245"/>
      <c r="AB60" s="249"/>
      <c r="AC60" s="1033" t="s">
        <v>2206</v>
      </c>
      <c r="AD60" s="1033"/>
      <c r="AE60" s="1033"/>
      <c r="AF60" s="1033"/>
      <c r="AG60" s="1033"/>
      <c r="AH60" s="170">
        <v>1</v>
      </c>
      <c r="AI60" s="253"/>
      <c r="AJ60" s="249"/>
      <c r="AK60" s="1033" t="s">
        <v>2206</v>
      </c>
      <c r="AL60" s="1033"/>
      <c r="AM60" s="1033"/>
      <c r="AN60" s="1033"/>
      <c r="AO60" s="1033"/>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252">
        <f>IF(AND(B9&lt;&gt;"処遇加算なし",F15=4),IF(V36="✓",1,IF(V37="✓",2,"")),"")</f>
        <v>1</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252">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G5:I5"/>
    <mergeCell ref="J5:L5"/>
    <mergeCell ref="M5:O5"/>
    <mergeCell ref="P5:R5"/>
    <mergeCell ref="S5:X5"/>
    <mergeCell ref="Q9:S9"/>
    <mergeCell ref="B8:S8"/>
    <mergeCell ref="B9:F9"/>
    <mergeCell ref="G9:K9"/>
    <mergeCell ref="L9:P9"/>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B36:F38"/>
    <mergeCell ref="B32:F34"/>
    <mergeCell ref="B28:F30"/>
    <mergeCell ref="B40:F42"/>
    <mergeCell ref="G40:T42"/>
    <mergeCell ref="W26:Z26"/>
    <mergeCell ref="W29:Z29"/>
    <mergeCell ref="W30:Z30"/>
    <mergeCell ref="W28:Z28"/>
    <mergeCell ref="W36:Z36"/>
    <mergeCell ref="W32:Z32"/>
    <mergeCell ref="G32:T34"/>
    <mergeCell ref="W37:Z37"/>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2423</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1334567891</v>
      </c>
      <c r="C5" s="1080"/>
      <c r="D5" s="1080"/>
      <c r="E5" s="1080"/>
      <c r="F5" s="1080"/>
      <c r="G5" s="1081" t="s">
        <v>4</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2431</v>
      </c>
      <c r="T5" s="1087"/>
      <c r="U5" s="1087"/>
      <c r="V5" s="1087"/>
      <c r="W5" s="1087"/>
      <c r="X5" s="1088"/>
      <c r="Y5" s="1070" t="s">
        <v>281</v>
      </c>
      <c r="Z5" s="1070"/>
      <c r="AA5" s="1070"/>
      <c r="AB5" s="1070"/>
      <c r="AC5" s="1070"/>
      <c r="AD5" s="1070"/>
      <c r="AE5" s="1038">
        <v>385000</v>
      </c>
      <c r="AF5" s="1039"/>
      <c r="AG5" s="1039"/>
      <c r="AH5" s="1040"/>
      <c r="AI5" s="1038">
        <v>80000</v>
      </c>
      <c r="AJ5" s="1039"/>
      <c r="AK5" s="1039"/>
      <c r="AL5" s="1040"/>
      <c r="AM5" s="1041">
        <f>AE5-AI5</f>
        <v>305000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新加算Ⅱ</v>
      </c>
      <c r="W8" s="1052"/>
      <c r="X8" s="1052"/>
      <c r="Y8" s="1052"/>
      <c r="Z8" s="1053"/>
      <c r="AA8" s="1034"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4" t="s">
        <v>267</v>
      </c>
      <c r="C9" s="1095"/>
      <c r="D9" s="1095"/>
      <c r="E9" s="1095"/>
      <c r="F9" s="1096"/>
      <c r="G9" s="1097" t="s">
        <v>13</v>
      </c>
      <c r="H9" s="1098"/>
      <c r="I9" s="1098"/>
      <c r="J9" s="1098"/>
      <c r="K9" s="1099"/>
      <c r="L9" s="1100" t="s">
        <v>15</v>
      </c>
      <c r="M9" s="1101"/>
      <c r="N9" s="1101"/>
      <c r="O9" s="1101"/>
      <c r="P9" s="1102"/>
      <c r="Q9" s="1089" t="s">
        <v>2200</v>
      </c>
      <c r="R9" s="1090"/>
      <c r="S9" s="1090"/>
      <c r="T9" s="998"/>
      <c r="U9" s="999"/>
      <c r="V9" s="1054">
        <f>IFERROR(VLOOKUP(Y5,【参考】数式用!$A$5:$AB$27,MATCH(V8,【参考】数式用!$B$4:$AB$4,0)+1,FALSE),"")</f>
        <v>8.9999999999999983E-2</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4.2999999999999997E-2</v>
      </c>
      <c r="C10" s="1106"/>
      <c r="D10" s="1106"/>
      <c r="E10" s="1106"/>
      <c r="F10" s="1107"/>
      <c r="G10" s="1105">
        <f>IFERROR(VLOOKUP(Y5,【参考】数式用!$A$5:$J$27,MATCH(G9,【参考】数式用!$B$4:$J$4,0)+1,0),"")</f>
        <v>0</v>
      </c>
      <c r="H10" s="1106"/>
      <c r="I10" s="1106"/>
      <c r="J10" s="1106"/>
      <c r="K10" s="1107"/>
      <c r="L10" s="1105">
        <f>IFERROR(VLOOKUP(Y5,【参考】数式用!$A$5:$J$27,MATCH(L9,【参考】数式用!$B$4:$J$4,0)+1,0),"")</f>
        <v>1.0999999999999999E-2</v>
      </c>
      <c r="M10" s="1106"/>
      <c r="N10" s="1106"/>
      <c r="O10" s="1106"/>
      <c r="P10" s="1107"/>
      <c r="Q10" s="1111">
        <f>SUM(B10,G10,L10)</f>
        <v>5.3999999999999992E-2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新加算Ⅲ</v>
      </c>
      <c r="W11" s="1060"/>
      <c r="X11" s="1060"/>
      <c r="Y11" s="1060"/>
      <c r="Z11" s="1060"/>
      <c r="AA11" s="1034" t="str">
        <f>IFERROR(VLOOKUP(AS1,【参考】数式用2!E6:L23,6,FALSE),"")</f>
        <v>キャリアパス要件Ⅲを「R6年度中の対応の誓約」で満たし、４月から旧処遇加算Ⅰを算定可。その場合、６月以降は自然と新加算Ⅲに移行可能。</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7.9999999999999988E-2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新加算Ⅳ</v>
      </c>
      <c r="W14" s="1060"/>
      <c r="X14" s="1060"/>
      <c r="Y14" s="1060"/>
      <c r="Z14" s="1060"/>
      <c r="AA14" s="1044"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6.3999999999999987E-2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t="s">
        <v>2271</v>
      </c>
      <c r="AE41" s="1134"/>
      <c r="AF41" s="1134"/>
      <c r="AG41" s="1134"/>
      <c r="AH41" s="1135"/>
      <c r="AI41" s="998"/>
      <c r="AJ41" s="999"/>
      <c r="AK41" s="234" t="s">
        <v>90</v>
      </c>
      <c r="AL41" s="1133" t="s">
        <v>2271</v>
      </c>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処遇加算Ⅰ</v>
      </c>
      <c r="H49" s="1139"/>
      <c r="I49" s="1139"/>
      <c r="J49" s="1139"/>
      <c r="K49" s="1165"/>
      <c r="L49" s="1138" t="str">
        <f>IFERROR(IF(G9="","",IF(AND(OR(AH61=1,AH61=2),AH62=1,AH63=1),"特定加算Ⅰ",IF(AND(OR(AH61=1,AH61=2),AH62=2,AH63=1),"特定加算Ⅱ",IF(OR(AH61=3,AH62=2,AH63=2),"特定加算なし","")))),"")</f>
        <v>特定加算Ⅱ</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11">
        <f>SUM(G50,L50,Q50)</f>
        <v>7.9999999999999988E-2</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f>IFERROR(ROUNDDOWN(ROUND(AM5*G50,0)*P5,0)*H53,"")</f>
        <v>392290</v>
      </c>
      <c r="H51" s="1130"/>
      <c r="I51" s="1130"/>
      <c r="J51" s="1130"/>
      <c r="K51" s="148" t="s">
        <v>2289</v>
      </c>
      <c r="L51" s="1129">
        <f>IFERROR(ROUNDDOWN(ROUND(AM5*L50,0)*P5,0)*H53,"")</f>
        <v>66490</v>
      </c>
      <c r="M51" s="1130"/>
      <c r="N51" s="1130"/>
      <c r="O51" s="1130"/>
      <c r="P51" s="148" t="s">
        <v>2289</v>
      </c>
      <c r="Q51" s="1129">
        <f>IFERROR(ROUNDDOWN(ROUND(AM5*Q50,0)*P5,0)*H53,"")</f>
        <v>73138</v>
      </c>
      <c r="R51" s="1130"/>
      <c r="S51" s="1130"/>
      <c r="T51" s="1130"/>
      <c r="U51" s="149" t="s">
        <v>2289</v>
      </c>
      <c r="V51" s="1136">
        <f>IFERROR(SUM(G51,L51,Q51),"")</f>
        <v>531918</v>
      </c>
      <c r="W51" s="1137"/>
      <c r="X51" s="1137"/>
      <c r="Y51" s="1137"/>
      <c r="Z51" s="150" t="s">
        <v>2289</v>
      </c>
      <c r="AB51" s="151"/>
      <c r="AC51" s="1129" t="str">
        <f>IFERROR(ROUNDDOWN(ROUND(AM5*AC50,0)*P5,0)*AD53,"")</f>
        <v/>
      </c>
      <c r="AD51" s="1130"/>
      <c r="AE51" s="1130"/>
      <c r="AF51" s="1130"/>
      <c r="AG51" s="1130"/>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172874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(196,145円/月)</v>
      </c>
      <c r="H52" s="1072"/>
      <c r="I52" s="1072"/>
      <c r="J52" s="1072"/>
      <c r="K52" s="1072"/>
      <c r="L52" s="1072" t="str">
        <f>IFERROR("("&amp;TEXT(L51/H53,"#,##0円")&amp;"/月)","")</f>
        <v>(33,245円/月)</v>
      </c>
      <c r="M52" s="1072"/>
      <c r="N52" s="1072"/>
      <c r="O52" s="1072"/>
      <c r="P52" s="1072"/>
      <c r="Q52" s="1072" t="str">
        <f>IFERROR("("&amp;TEXT(Q51/H53,"#,##0円")&amp;"/月)","")</f>
        <v>(36,569円/月)</v>
      </c>
      <c r="R52" s="1072"/>
      <c r="S52" s="1072"/>
      <c r="T52" s="1072"/>
      <c r="U52" s="1072"/>
      <c r="V52" s="1072" t="str">
        <f>IFERROR("("&amp;TEXT(V51/H53,"#,##0円")&amp;"/月)","")</f>
        <v>(265,959円/月)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f>IF(AND(B9&lt;&gt;"処遇加算なし",F15=4),IF(V24="✓",1,IF(V25="✓",2,IF(V26="✓",3,""))),"")</f>
        <v>1</v>
      </c>
      <c r="AA58" s="245"/>
      <c r="AB58" s="249"/>
      <c r="AC58" s="1033" t="s">
        <v>2204</v>
      </c>
      <c r="AD58" s="1033"/>
      <c r="AE58" s="1033"/>
      <c r="AF58" s="1033"/>
      <c r="AG58" s="1033"/>
      <c r="AH58" s="170">
        <v>1</v>
      </c>
      <c r="AI58" s="253"/>
      <c r="AJ58" s="249"/>
      <c r="AK58" s="1033" t="s">
        <v>2204</v>
      </c>
      <c r="AL58" s="1033"/>
      <c r="AM58" s="1033"/>
      <c r="AN58" s="1033"/>
      <c r="AO58" s="1033"/>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f>IF(AND(B9&lt;&gt;"処遇加算なし",F15=4),IF(V28="✓",1,IF(V29="✓",2,IF(V30="✓",3,""))),"")</f>
        <v>1</v>
      </c>
      <c r="AA59" s="245"/>
      <c r="AB59" s="249"/>
      <c r="AC59" s="1033" t="s">
        <v>2205</v>
      </c>
      <c r="AD59" s="1033"/>
      <c r="AE59" s="1033"/>
      <c r="AF59" s="1033"/>
      <c r="AG59" s="1033"/>
      <c r="AH59" s="170">
        <v>1</v>
      </c>
      <c r="AI59" s="253"/>
      <c r="AJ59" s="249"/>
      <c r="AK59" s="1033" t="s">
        <v>2205</v>
      </c>
      <c r="AL59" s="1033"/>
      <c r="AM59" s="1033"/>
      <c r="AN59" s="1033"/>
      <c r="AO59" s="1033"/>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v>2</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v>1</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v>2</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2432</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1334567892</v>
      </c>
      <c r="C5" s="1080"/>
      <c r="D5" s="1080"/>
      <c r="E5" s="1080"/>
      <c r="F5" s="1080"/>
      <c r="G5" s="1081" t="s">
        <v>2436</v>
      </c>
      <c r="H5" s="1081"/>
      <c r="I5" s="1081"/>
      <c r="J5" s="1082" t="s">
        <v>5</v>
      </c>
      <c r="K5" s="1082"/>
      <c r="L5" s="1082"/>
      <c r="M5" s="1083" t="s">
        <v>6</v>
      </c>
      <c r="N5" s="1083"/>
      <c r="O5" s="1083"/>
      <c r="P5" s="1084">
        <f>IF(Y5="","",IFERROR(INDEX(【参考】数式用3!$G$3:$I$451,MATCH(M5,【参考】数式用3!$F$3:$F$451,0),MATCH(VLOOKUP(Y5,【参考】数式用3!$J$2:$K$26,2,FALSE),【参考】数式用3!$G$2:$I$2,0)),10))</f>
        <v>10.9</v>
      </c>
      <c r="Q5" s="1085"/>
      <c r="R5" s="1085"/>
      <c r="S5" s="1086" t="s">
        <v>2435</v>
      </c>
      <c r="T5" s="1087"/>
      <c r="U5" s="1087"/>
      <c r="V5" s="1087"/>
      <c r="W5" s="1087"/>
      <c r="X5" s="1088"/>
      <c r="Y5" s="1070" t="s">
        <v>284</v>
      </c>
      <c r="Z5" s="1070"/>
      <c r="AA5" s="1070"/>
      <c r="AB5" s="1070"/>
      <c r="AC5" s="1070"/>
      <c r="AD5" s="1070"/>
      <c r="AE5" s="1038">
        <v>325000</v>
      </c>
      <c r="AF5" s="1039"/>
      <c r="AG5" s="1039"/>
      <c r="AH5" s="1040"/>
      <c r="AI5" s="1038">
        <v>0</v>
      </c>
      <c r="AJ5" s="1039"/>
      <c r="AK5" s="1039"/>
      <c r="AL5" s="1040"/>
      <c r="AM5" s="1041">
        <f>AE5-AI5</f>
        <v>325000</v>
      </c>
      <c r="AN5" s="1042"/>
      <c r="AO5" s="1042"/>
      <c r="AP5" s="1043"/>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533">
        <v>10</v>
      </c>
      <c r="G15" s="530" t="s">
        <v>2284</v>
      </c>
      <c r="H15" s="1115" t="s">
        <v>2285</v>
      </c>
      <c r="I15" s="1115"/>
      <c r="J15" s="1128"/>
      <c r="K15" s="147">
        <v>7</v>
      </c>
      <c r="L15" s="530" t="s">
        <v>2283</v>
      </c>
      <c r="M15" s="147">
        <v>3</v>
      </c>
      <c r="N15" s="530" t="s">
        <v>2284</v>
      </c>
      <c r="O15" s="530" t="s">
        <v>2286</v>
      </c>
      <c r="P15" s="204">
        <f>(K15*12+M15)-(D15*12+F15)+1</f>
        <v>6</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
      </c>
      <c r="AD20" s="1078"/>
      <c r="AE20" s="1078"/>
      <c r="AF20" s="1078"/>
      <c r="AG20" s="1078"/>
      <c r="AH20" s="1078"/>
      <c r="AI20" s="191"/>
      <c r="AJ20" s="191"/>
      <c r="AK20" s="1078" t="str">
        <f>IF(OR(F15=4,F15=5),"R6.6","R"&amp;D15&amp;"."&amp;F15)&amp;"～R"&amp;K15&amp;"."&amp;M15</f>
        <v>R6.10～R7.3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サービス提供体制強化加算Ⅰ、Ⅱ、Ⅲイまたはロを算定する。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t="s">
        <v>2271</v>
      </c>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新加算Ⅱ</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f>IFERROR(VLOOKUP(Y5,【参考】数式用!$A$5:$AB$27,MATCH(AC49,【参考】数式用!$B$4:$AB$4,0)+1,FALSE),"")</f>
        <v>8.9999999999999983E-2</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f>IFERROR(ROUNDDOWN(ROUND(AM5*AC50,0)*P5,0)*AD53,"")</f>
        <v>1912950</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
      </c>
      <c r="W52" s="1072"/>
      <c r="X52" s="1072"/>
      <c r="Y52" s="1072"/>
      <c r="Z52" s="1072"/>
      <c r="AB52" s="151"/>
      <c r="AC52" s="1131" t="str">
        <f>IFERROR("("&amp;TEXT(AC51/AD53,"#,##0円")&amp;"/月)","")</f>
        <v>(318,825円/月)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6" t="s">
        <v>2420</v>
      </c>
      <c r="AT56" s="1016"/>
      <c r="AU56" s="1016"/>
      <c r="AV56" s="1016"/>
      <c r="AW56" s="1016" t="s">
        <v>2419</v>
      </c>
      <c r="AX56" s="1016"/>
      <c r="AY56" s="1016"/>
      <c r="AZ56" s="1016"/>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7"/>
      <c r="AX57" s="1017"/>
      <c r="AY57" s="1017"/>
      <c r="AZ57" s="1017"/>
      <c r="BP57" s="251"/>
      <c r="BR57" s="251"/>
      <c r="BS57" s="251"/>
      <c r="BT57" s="251"/>
      <c r="BU57" s="251"/>
      <c r="BV57" s="251"/>
      <c r="BW57" s="251"/>
      <c r="BX57" s="251"/>
      <c r="BY57" s="251"/>
      <c r="BZ57" s="251"/>
      <c r="CA57" s="251"/>
      <c r="CB57" s="251"/>
      <c r="CC57" s="251"/>
      <c r="CD57" s="251"/>
      <c r="CE57" s="251"/>
      <c r="CF57" s="251"/>
      <c r="CH57" s="254"/>
    </row>
    <row r="58" spans="2:86"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534">
        <f>IF(AND(F15&lt;&gt;4,F15&lt;&gt;5),0,IF(AU8="○",1,3))</f>
        <v>0</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534">
        <f>IF(AND(F15&lt;&gt;4,F15&lt;&gt;5),0,IF(AV8="○",1,3))</f>
        <v>0</v>
      </c>
      <c r="AI59" s="253"/>
      <c r="AJ59" s="249"/>
      <c r="AK59" s="1033" t="s">
        <v>2205</v>
      </c>
      <c r="AL59" s="1033"/>
      <c r="AM59" s="1033"/>
      <c r="AN59" s="1033"/>
      <c r="AO59" s="1033"/>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534">
        <f>IF(AND(F15&lt;&gt;4,F15&lt;&gt;5),0,IF(AW8="○",1,3))</f>
        <v>0</v>
      </c>
      <c r="AI60" s="253"/>
      <c r="AJ60" s="249"/>
      <c r="AK60" s="1033" t="s">
        <v>2206</v>
      </c>
      <c r="AL60" s="1033"/>
      <c r="AM60" s="1033"/>
      <c r="AN60" s="1033"/>
      <c r="AO60" s="1033"/>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534">
        <f>IF(AND(F15&lt;&gt;4,F15&lt;&gt;5),0,IF(AX8="○",1,2))</f>
        <v>0</v>
      </c>
      <c r="AI61" s="253"/>
      <c r="AJ61" s="249"/>
      <c r="AK61" s="1033" t="s">
        <v>2207</v>
      </c>
      <c r="AL61" s="1033"/>
      <c r="AM61" s="1033"/>
      <c r="AN61" s="1033"/>
      <c r="AO61" s="1033"/>
      <c r="AP61" s="170">
        <v>1</v>
      </c>
      <c r="AQ61" s="245"/>
      <c r="AR61" s="245"/>
      <c r="AS61" s="1005" t="str">
        <f>IF(OR(AND(Z61=1,AH61=2),AND(Z61=1,AP61=2)),"○","")</f>
        <v/>
      </c>
      <c r="AT61" s="1005"/>
      <c r="AU61" s="1005"/>
      <c r="AV61" s="1005"/>
      <c r="AW61" s="1018" t="str">
        <f>IF(OR((AD61-AL61)&lt;0,(AD61-AT61)&lt;0),"!","")</f>
        <v/>
      </c>
      <c r="AX61" s="1018"/>
      <c r="AY61" s="1018"/>
      <c r="AZ61" s="1018"/>
      <c r="BP61" s="251"/>
      <c r="BR61" s="251"/>
      <c r="BS61" s="251"/>
      <c r="BT61" s="251"/>
      <c r="BU61" s="251"/>
      <c r="BV61" s="251"/>
      <c r="BW61" s="251"/>
      <c r="BX61" s="251"/>
      <c r="BY61" s="251"/>
      <c r="BZ61" s="251"/>
      <c r="CA61" s="251"/>
      <c r="CB61" s="251"/>
      <c r="CC61" s="251"/>
      <c r="CD61" s="251"/>
      <c r="CE61" s="251"/>
      <c r="CF61" s="251"/>
      <c r="CH61" s="254"/>
    </row>
    <row r="62" spans="2:86"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534">
        <f>IF(AND(F15&lt;&gt;4,F15&lt;&gt;5),0,IF(AY8="○",1,2))</f>
        <v>0</v>
      </c>
      <c r="AI62" s="253"/>
      <c r="AJ62" s="249"/>
      <c r="AK62" s="1033" t="s">
        <v>2208</v>
      </c>
      <c r="AL62" s="1033"/>
      <c r="AM62" s="1033"/>
      <c r="AN62" s="1033"/>
      <c r="AO62" s="1033"/>
      <c r="AP62" s="170">
        <v>2</v>
      </c>
      <c r="AQ62" s="245"/>
      <c r="AR62" s="245"/>
      <c r="AS62" s="1005" t="str">
        <f>IF(OR(AND(Z62=1,AH62=2),AND(Z62=1,AP62=2)),"○","")</f>
        <v/>
      </c>
      <c r="AT62" s="1005"/>
      <c r="AU62" s="1005"/>
      <c r="AV62" s="1005"/>
      <c r="AW62" s="1018" t="str">
        <f>IF(OR((AD62-AL62)&lt;0,(AD62-AT62)&lt;0),"!","")</f>
        <v/>
      </c>
      <c r="AX62" s="1018"/>
      <c r="AY62" s="1018"/>
      <c r="AZ62" s="1018"/>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8" t="str">
        <f>IF(OR((AD63-AL63)&lt;0,(AD63-AT63)&lt;0),"!","")</f>
        <v/>
      </c>
      <c r="AX63" s="1018"/>
      <c r="AY63" s="1018"/>
      <c r="AZ63" s="1018"/>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2424</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0">
        <v>1334567893</v>
      </c>
      <c r="C5" s="1080"/>
      <c r="D5" s="1080"/>
      <c r="E5" s="1080"/>
      <c r="F5" s="1080"/>
      <c r="G5" s="1081" t="s">
        <v>2433</v>
      </c>
      <c r="H5" s="1081"/>
      <c r="I5" s="1081"/>
      <c r="J5" s="1082" t="s">
        <v>5</v>
      </c>
      <c r="K5" s="1082"/>
      <c r="L5" s="1082"/>
      <c r="M5" s="1083" t="s">
        <v>1320</v>
      </c>
      <c r="N5" s="1083"/>
      <c r="O5" s="1083"/>
      <c r="P5" s="1084">
        <f>IF(Y5="","",IFERROR(INDEX(【参考】数式用3!$G$3:$I$451,MATCH(M5,【参考】数式用3!$F$3:$F$451,0),MATCH(VLOOKUP(Y5,【参考】数式用3!$J$2:$K$26,2,FALSE),【参考】数式用3!$G$2:$I$2,0)),10))</f>
        <v>11.1</v>
      </c>
      <c r="Q5" s="1085"/>
      <c r="R5" s="1085"/>
      <c r="S5" s="1086" t="s">
        <v>2434</v>
      </c>
      <c r="T5" s="1087"/>
      <c r="U5" s="1087"/>
      <c r="V5" s="1087"/>
      <c r="W5" s="1087"/>
      <c r="X5" s="1088"/>
      <c r="Y5" s="1070" t="s">
        <v>292</v>
      </c>
      <c r="Z5" s="1070"/>
      <c r="AA5" s="1070"/>
      <c r="AB5" s="1070"/>
      <c r="AC5" s="1070"/>
      <c r="AD5" s="1070"/>
      <c r="AE5" s="1038">
        <v>425000</v>
      </c>
      <c r="AF5" s="1039"/>
      <c r="AG5" s="1039"/>
      <c r="AH5" s="1040"/>
      <c r="AI5" s="1038">
        <v>80000</v>
      </c>
      <c r="AJ5" s="1039"/>
      <c r="AK5" s="1039"/>
      <c r="AL5" s="1040"/>
      <c r="AM5" s="1041">
        <f>AE5-AI5</f>
        <v>345000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新加算Ⅳ</v>
      </c>
      <c r="W8" s="1052"/>
      <c r="X8" s="1052"/>
      <c r="Y8" s="1052"/>
      <c r="Z8" s="1053"/>
      <c r="AA8" s="1034"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t="s">
        <v>268</v>
      </c>
      <c r="C9" s="1095"/>
      <c r="D9" s="1095"/>
      <c r="E9" s="1095"/>
      <c r="F9" s="1096"/>
      <c r="G9" s="1097" t="s">
        <v>13</v>
      </c>
      <c r="H9" s="1098"/>
      <c r="I9" s="1098"/>
      <c r="J9" s="1098"/>
      <c r="K9" s="1099"/>
      <c r="L9" s="1100" t="s">
        <v>11</v>
      </c>
      <c r="M9" s="1101"/>
      <c r="N9" s="1101"/>
      <c r="O9" s="1101"/>
      <c r="P9" s="1102"/>
      <c r="Q9" s="1089" t="s">
        <v>2200</v>
      </c>
      <c r="R9" s="1090"/>
      <c r="S9" s="1090"/>
      <c r="T9" s="998"/>
      <c r="U9" s="999"/>
      <c r="V9" s="1054">
        <f>IFERROR(VLOOKUP(Y5,【参考】数式用!$A$5:$AB$27,MATCH(V8,【参考】数式用!$B$4:$AB$4,0)+1,FALSE),"")</f>
        <v>0.106</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f>IFERROR(VLOOKUP(Y5,【参考】数式用!$A$5:$J$27,MATCH(B9,【参考】数式用!$B$4:$J$4,0)+1,0),"")</f>
        <v>4.1000000000000002E-2</v>
      </c>
      <c r="C10" s="1106"/>
      <c r="D10" s="1106"/>
      <c r="E10" s="1106"/>
      <c r="F10" s="1107"/>
      <c r="G10" s="1105">
        <f>IFERROR(VLOOKUP(Y5,【参考】数式用!$A$5:$J$27,MATCH(G9,【参考】数式用!$B$4:$J$4,0)+1,0),"")</f>
        <v>0</v>
      </c>
      <c r="H10" s="1106"/>
      <c r="I10" s="1106"/>
      <c r="J10" s="1106"/>
      <c r="K10" s="1107"/>
      <c r="L10" s="1105">
        <f>IFERROR(VLOOKUP(Y5,【参考】数式用!$A$5:$J$27,MATCH(L9,【参考】数式用!$B$4:$J$4,0)+1,0),"")</f>
        <v>0</v>
      </c>
      <c r="M10" s="1106"/>
      <c r="N10" s="1106"/>
      <c r="O10" s="1106"/>
      <c r="P10" s="1107"/>
      <c r="Q10" s="1111">
        <f>SUM(B10,G10,L10)</f>
        <v>4.1000000000000002E-2</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新加算Ⅴ(11)</v>
      </c>
      <c r="W11" s="1060"/>
      <c r="X11" s="1060"/>
      <c r="Y11" s="1060"/>
      <c r="Z11" s="1060"/>
      <c r="AA11" s="1034"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9"/>
      <c r="D12" s="1079"/>
      <c r="E12" s="1079"/>
      <c r="F12" s="1079"/>
      <c r="G12" s="1079"/>
      <c r="H12" s="1079"/>
      <c r="I12" s="1079"/>
      <c r="J12" s="1079"/>
      <c r="K12" s="1079"/>
      <c r="L12" s="1079"/>
      <c r="M12" s="1079"/>
      <c r="N12" s="1079"/>
      <c r="O12" s="1079"/>
      <c r="P12" s="1079"/>
      <c r="Q12" s="1079"/>
      <c r="R12" s="1079"/>
      <c r="S12" s="1079"/>
      <c r="T12" s="1068"/>
      <c r="U12" s="999"/>
      <c r="V12" s="1059">
        <f>IFERROR(VLOOKUP(Y5,【参考】数式用!$A$5:$AB$27,MATCH(V11,【参考】数式用!$B$4:$AB$4,0)+1,FALSE),"")</f>
        <v>8.8999999999999996E-2</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新加算Ⅴ(14)</v>
      </c>
      <c r="W14" s="1060"/>
      <c r="X14" s="1060"/>
      <c r="Y14" s="1060"/>
      <c r="Z14" s="1060"/>
      <c r="AA14" s="1044"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f>IFERROR(VLOOKUP(Y5,【参考】数式用!$A$5:$AB$27,MATCH(V14,【参考】数式用!$B$4:$AB$4,0)+1,FALSE),"")</f>
        <v>5.6000000000000001E-2</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サービス提供体制強化加算ⅠまたはⅡを算定する。</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処遇加算Ⅱ</v>
      </c>
      <c r="H49" s="1139"/>
      <c r="I49" s="1139"/>
      <c r="J49" s="1139"/>
      <c r="K49" s="1165"/>
      <c r="L49" s="1138" t="str">
        <f>IFERROR(IF(G9="","",IF(AND(OR(AH61=1,AH61=2),AH62=1,AH63=1),"特定加算Ⅰ",IF(AND(OR(AH61=1,AH61=2),AH62=2,AH63=1),"特定加算Ⅱ",IF(OR(AH61=3,AH62=2,AH63=2),"特定加算なし","")))),"")</f>
        <v>特定加算なし</v>
      </c>
      <c r="M49" s="1139"/>
      <c r="N49" s="1139"/>
      <c r="O49" s="1139"/>
      <c r="P49" s="1140"/>
      <c r="Q49" s="1141" t="str">
        <f>IFERROR(IF(OR(L9="ベア加算",AND(L9="ベア加算なし",AH57=1)),"ベア加算",IF(AH57=2,"ベア加算なし","")),"")</f>
        <v>ベア加算</v>
      </c>
      <c r="R49" s="1139"/>
      <c r="S49" s="1139"/>
      <c r="T49" s="1139"/>
      <c r="U49" s="1140"/>
      <c r="V49" s="1142" t="s">
        <v>12</v>
      </c>
      <c r="W49" s="1143"/>
      <c r="X49" s="1143"/>
      <c r="Y49" s="1143"/>
      <c r="Z49" s="1143"/>
      <c r="AA49" s="1068"/>
      <c r="AB49" s="1068"/>
      <c r="AC49" s="1153" t="str">
        <f>IFERROR(VLOOKUP(BE48,【参考】数式用2!E6:F23,2,FALSE),"")</f>
        <v>新加算Ⅳ</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11">
        <f>SUM(G50,L50,Q50)</f>
        <v>9.0999999999999998E-2</v>
      </c>
      <c r="W50" s="1112"/>
      <c r="X50" s="1112"/>
      <c r="Y50" s="1112"/>
      <c r="Z50" s="1112"/>
      <c r="AA50" s="1068"/>
      <c r="AB50" s="1068"/>
      <c r="AC50" s="1161">
        <f>IFERROR(VLOOKUP(Y5,【参考】数式用!$A$5:$AB$27,MATCH(AC49,【参考】数式用!$B$4:$AB$4,0)+1,FALSE),"")</f>
        <v>0.106</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f>IFERROR(ROUNDDOWN(ROUND(AM5*G50,0)*P5,0)*H53,"")</f>
        <v>566766</v>
      </c>
      <c r="H51" s="1130"/>
      <c r="I51" s="1130"/>
      <c r="J51" s="1130"/>
      <c r="K51" s="148" t="s">
        <v>2289</v>
      </c>
      <c r="L51" s="1129">
        <f>IFERROR(ROUNDDOWN(ROUND(AM5*L50,0)*P5,0)*H53,"")</f>
        <v>0</v>
      </c>
      <c r="M51" s="1130"/>
      <c r="N51" s="1130"/>
      <c r="O51" s="1130"/>
      <c r="P51" s="148" t="s">
        <v>2289</v>
      </c>
      <c r="Q51" s="1129">
        <f>IFERROR(ROUNDDOWN(ROUND(AM5*Q50,0)*P5,0)*H53,"")</f>
        <v>130202</v>
      </c>
      <c r="R51" s="1130"/>
      <c r="S51" s="1130"/>
      <c r="T51" s="1130"/>
      <c r="U51" s="149" t="s">
        <v>2289</v>
      </c>
      <c r="V51" s="1136">
        <f>IFERROR(SUM(G51,L51,Q51),"")</f>
        <v>696968</v>
      </c>
      <c r="W51" s="1137"/>
      <c r="X51" s="1137"/>
      <c r="Y51" s="1137"/>
      <c r="Z51" s="150" t="s">
        <v>2289</v>
      </c>
      <c r="AB51" s="151"/>
      <c r="AC51" s="1129">
        <f>IFERROR(ROUNDDOWN(ROUND(AM5*AC50,0)*P5,0)*AD53,"")</f>
        <v>4059270</v>
      </c>
      <c r="AD51" s="1130"/>
      <c r="AE51" s="1130"/>
      <c r="AF51" s="1130"/>
      <c r="AG51" s="1130"/>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(283,383円/月)</v>
      </c>
      <c r="H52" s="1072"/>
      <c r="I52" s="1072"/>
      <c r="J52" s="1072"/>
      <c r="K52" s="1072"/>
      <c r="L52" s="1072" t="str">
        <f>IFERROR("("&amp;TEXT(L51/H53,"#,##0円")&amp;"/月)","")</f>
        <v>(0円/月)</v>
      </c>
      <c r="M52" s="1072"/>
      <c r="N52" s="1072"/>
      <c r="O52" s="1072"/>
      <c r="P52" s="1072"/>
      <c r="Q52" s="1072" t="str">
        <f>IFERROR("("&amp;TEXT(Q51/H53,"#,##0円")&amp;"/月)","")</f>
        <v>(65,101円/月)</v>
      </c>
      <c r="R52" s="1072"/>
      <c r="S52" s="1072"/>
      <c r="T52" s="1072"/>
      <c r="U52" s="1072"/>
      <c r="V52" s="1072" t="str">
        <f>IFERROR("("&amp;TEXT(V51/H53,"#,##0円")&amp;"/月)","")</f>
        <v>(348,484円/月)</v>
      </c>
      <c r="W52" s="1072"/>
      <c r="X52" s="1072"/>
      <c r="Y52" s="1072"/>
      <c r="Z52" s="1072"/>
      <c r="AB52" s="151"/>
      <c r="AC52" s="1131" t="str">
        <f>IFERROR("("&amp;TEXT(AC51/AD53,"#,##0円")&amp;"/月)","")</f>
        <v>(405,927円/月)</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f>IF(AND(B9&lt;&gt;"処遇加算なし",F15=4),IF(V24="✓",1,IF(V25="✓",2,IF(V26="✓",3,""))),"")</f>
        <v>2</v>
      </c>
      <c r="AA58" s="245"/>
      <c r="AB58" s="249"/>
      <c r="AC58" s="1033" t="s">
        <v>2204</v>
      </c>
      <c r="AD58" s="1033"/>
      <c r="AE58" s="1033"/>
      <c r="AF58" s="1033"/>
      <c r="AG58" s="1033"/>
      <c r="AH58" s="170">
        <v>2</v>
      </c>
      <c r="AI58" s="253"/>
      <c r="AJ58" s="249"/>
      <c r="AK58" s="1033" t="s">
        <v>2204</v>
      </c>
      <c r="AL58" s="1033"/>
      <c r="AM58" s="1033"/>
      <c r="AN58" s="1033"/>
      <c r="AO58" s="1033"/>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f>IF(AND(B9&lt;&gt;"処遇加算なし",F15=4),IF(V28="✓",1,IF(V29="✓",2,IF(V30="✓",3,""))),"")</f>
        <v>2</v>
      </c>
      <c r="AA59" s="245"/>
      <c r="AB59" s="249"/>
      <c r="AC59" s="1033" t="s">
        <v>2205</v>
      </c>
      <c r="AD59" s="1033"/>
      <c r="AE59" s="1033"/>
      <c r="AF59" s="1033"/>
      <c r="AG59" s="1033"/>
      <c r="AH59" s="170">
        <v>1</v>
      </c>
      <c r="AI59" s="253"/>
      <c r="AJ59" s="249"/>
      <c r="AK59" s="1033" t="s">
        <v>2205</v>
      </c>
      <c r="AL59" s="1033"/>
      <c r="AM59" s="1033"/>
      <c r="AN59" s="1033"/>
      <c r="AO59" s="1033"/>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f>IF(AND(B9&lt;&gt;"処遇加算なし",F15=4),IF(V32="✓",1,IF(V33="✓",2,"")),"")</f>
        <v>2</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f>IF(AND(B9&lt;&gt;"処遇加算なし",F15=4),IF(V36="✓",1,IF(V37="✓",2,"")),"")</f>
        <v>2</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f>IF(AND(B9&lt;&gt;"処遇加算なし",F15=4),IF(V40="✓",1,IF(V41="✓",2,"")),"")</f>
        <v>2</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2425</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H57" s="251"/>
      <c r="BJ57" s="251"/>
      <c r="BK57" s="251"/>
      <c r="BL57" s="251"/>
      <c r="BM57" s="251"/>
      <c r="BN57" s="251"/>
      <c r="BO57" s="251"/>
      <c r="BP57" s="251"/>
      <c r="BQ57" s="251"/>
      <c r="BR57" s="251"/>
      <c r="BS57" s="251"/>
      <c r="BT57" s="251"/>
      <c r="BU57" s="251"/>
      <c r="BV57" s="251"/>
      <c r="BW57" s="251"/>
      <c r="BX57" s="251"/>
      <c r="BZ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H61" s="251"/>
      <c r="BJ61" s="251"/>
      <c r="BK61" s="251"/>
      <c r="BL61" s="251"/>
      <c r="BM61" s="251"/>
      <c r="BN61" s="251"/>
      <c r="BO61" s="251"/>
      <c r="BP61" s="251"/>
      <c r="BQ61" s="251"/>
      <c r="BR61" s="251"/>
      <c r="BS61" s="251"/>
      <c r="BT61" s="251"/>
      <c r="BU61" s="251"/>
      <c r="BV61" s="251"/>
      <c r="BW61" s="251"/>
      <c r="BX61" s="251"/>
      <c r="BZ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2426</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J57" s="251"/>
      <c r="BL57" s="251"/>
      <c r="BM57" s="251"/>
      <c r="BN57" s="251"/>
      <c r="BO57" s="251"/>
      <c r="BP57" s="251"/>
      <c r="BQ57" s="251"/>
      <c r="BR57" s="251"/>
      <c r="BS57" s="251"/>
      <c r="BT57" s="251"/>
      <c r="BU57" s="251"/>
      <c r="BV57" s="251"/>
      <c r="BW57" s="251"/>
      <c r="BX57" s="251"/>
      <c r="BY57" s="251"/>
      <c r="BZ57" s="251"/>
      <c r="CB57" s="254"/>
    </row>
    <row r="58" spans="2:84"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J61" s="251"/>
      <c r="BL61" s="251"/>
      <c r="BM61" s="251"/>
      <c r="BN61" s="251"/>
      <c r="BO61" s="251"/>
      <c r="BP61" s="251"/>
      <c r="BQ61" s="251"/>
      <c r="BR61" s="251"/>
      <c r="BS61" s="251"/>
      <c r="BT61" s="251"/>
      <c r="BU61" s="251"/>
      <c r="BV61" s="251"/>
      <c r="BW61" s="251"/>
      <c r="BX61" s="251"/>
      <c r="BY61" s="251"/>
      <c r="BZ61" s="251"/>
      <c r="CB61" s="254"/>
    </row>
    <row r="62" spans="2:84"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2427</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L57" s="251"/>
      <c r="BN57" s="251"/>
      <c r="BO57" s="251"/>
      <c r="BP57" s="251"/>
      <c r="BQ57" s="251"/>
      <c r="BR57" s="251"/>
      <c r="BS57" s="251"/>
      <c r="BT57" s="251"/>
      <c r="BU57" s="251"/>
      <c r="BV57" s="251"/>
      <c r="BW57" s="251"/>
      <c r="BX57" s="251"/>
      <c r="BY57" s="251"/>
      <c r="BZ57" s="251"/>
      <c r="CA57" s="251"/>
      <c r="CB57" s="251"/>
      <c r="CD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L61" s="251"/>
      <c r="BN61" s="251"/>
      <c r="BO61" s="251"/>
      <c r="BP61" s="251"/>
      <c r="BQ61" s="251"/>
      <c r="BR61" s="251"/>
      <c r="BS61" s="251"/>
      <c r="BT61" s="251"/>
      <c r="BU61" s="251"/>
      <c r="BV61" s="251"/>
      <c r="BW61" s="251"/>
      <c r="BX61" s="251"/>
      <c r="BY61" s="251"/>
      <c r="BZ61" s="251"/>
      <c r="CA61" s="251"/>
      <c r="CB61" s="251"/>
      <c r="CD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7" t="s">
        <v>2428</v>
      </c>
      <c r="O1" s="1057"/>
      <c r="P1" s="1057"/>
      <c r="Q1" s="1057"/>
      <c r="R1" s="1057"/>
      <c r="S1" s="1057"/>
      <c r="T1" s="1057"/>
      <c r="U1" s="1057"/>
      <c r="V1" s="1057"/>
      <c r="W1" s="1057"/>
      <c r="X1" s="1057"/>
      <c r="Y1" s="1057"/>
      <c r="Z1" s="1057"/>
      <c r="AA1" s="1057"/>
      <c r="AB1" s="1057"/>
      <c r="AC1" s="1057"/>
      <c r="AD1" s="1057"/>
      <c r="AE1" s="1057"/>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7"/>
      <c r="O2" s="1057"/>
      <c r="P2" s="1057"/>
      <c r="Q2" s="1057"/>
      <c r="R2" s="1057"/>
      <c r="S2" s="1057"/>
      <c r="T2" s="1057"/>
      <c r="U2" s="1057"/>
      <c r="V2" s="1057"/>
      <c r="W2" s="1057"/>
      <c r="X2" s="1057"/>
      <c r="Y2" s="1057"/>
      <c r="Z2" s="1057"/>
      <c r="AA2" s="1057"/>
      <c r="AB2" s="1057"/>
      <c r="AC2" s="1057"/>
      <c r="AD2" s="1057"/>
      <c r="AE2" s="1057"/>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3" t="s">
        <v>2293</v>
      </c>
      <c r="C4" s="1073"/>
      <c r="D4" s="1073"/>
      <c r="E4" s="1073"/>
      <c r="F4" s="1073"/>
      <c r="G4" s="1073" t="s">
        <v>0</v>
      </c>
      <c r="H4" s="1073"/>
      <c r="I4" s="1073"/>
      <c r="J4" s="1069" t="s">
        <v>1</v>
      </c>
      <c r="K4" s="1069"/>
      <c r="L4" s="1069"/>
      <c r="M4" s="1069"/>
      <c r="N4" s="1069"/>
      <c r="O4" s="1069"/>
      <c r="P4" s="1074" t="s">
        <v>2162</v>
      </c>
      <c r="Q4" s="1075"/>
      <c r="R4" s="1075"/>
      <c r="S4" s="1076" t="s">
        <v>2</v>
      </c>
      <c r="T4" s="1077"/>
      <c r="U4" s="1077"/>
      <c r="V4" s="1077"/>
      <c r="W4" s="1077"/>
      <c r="X4" s="1077"/>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0"/>
      <c r="C5" s="1080"/>
      <c r="D5" s="1080"/>
      <c r="E5" s="1080"/>
      <c r="F5" s="1080"/>
      <c r="G5" s="1081"/>
      <c r="H5" s="1081"/>
      <c r="I5" s="1081"/>
      <c r="J5" s="1082"/>
      <c r="K5" s="1082"/>
      <c r="L5" s="1082"/>
      <c r="M5" s="1083"/>
      <c r="N5" s="1083"/>
      <c r="O5" s="1083"/>
      <c r="P5" s="1084" t="str">
        <f>IF(Y5="","",IFERROR(INDEX(【参考】数式用3!$G$3:$I$451,MATCH(M5,【参考】数式用3!$F$3:$F$451,0),MATCH(VLOOKUP(Y5,【参考】数式用3!$J$2:$K$26,2,FALSE),【参考】数式用3!$G$2:$I$2,0)),10))</f>
        <v/>
      </c>
      <c r="Q5" s="1085"/>
      <c r="R5" s="1085"/>
      <c r="S5" s="1086"/>
      <c r="T5" s="1087"/>
      <c r="U5" s="1087"/>
      <c r="V5" s="1087"/>
      <c r="W5" s="1087"/>
      <c r="X5" s="1088"/>
      <c r="Y5" s="1070"/>
      <c r="Z5" s="1070"/>
      <c r="AA5" s="1070"/>
      <c r="AB5" s="1070"/>
      <c r="AC5" s="1070"/>
      <c r="AD5" s="1070"/>
      <c r="AE5" s="1038"/>
      <c r="AF5" s="1039"/>
      <c r="AG5" s="1039"/>
      <c r="AH5" s="1040"/>
      <c r="AI5" s="1038"/>
      <c r="AJ5" s="1039"/>
      <c r="AK5" s="1039"/>
      <c r="AL5" s="1040"/>
      <c r="AM5" s="1041">
        <f>AE5-AI5</f>
        <v>0</v>
      </c>
      <c r="AN5" s="1042"/>
      <c r="AO5" s="1042"/>
      <c r="AP5" s="1043"/>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1" t="s">
        <v>2328</v>
      </c>
      <c r="C8" s="1092"/>
      <c r="D8" s="1092"/>
      <c r="E8" s="1092"/>
      <c r="F8" s="1092"/>
      <c r="G8" s="1092"/>
      <c r="H8" s="1092"/>
      <c r="I8" s="1092"/>
      <c r="J8" s="1092"/>
      <c r="K8" s="1092"/>
      <c r="L8" s="1092"/>
      <c r="M8" s="1092"/>
      <c r="N8" s="1092"/>
      <c r="O8" s="1092"/>
      <c r="P8" s="1092"/>
      <c r="Q8" s="1092"/>
      <c r="R8" s="1092"/>
      <c r="S8" s="1093"/>
      <c r="T8" s="998" t="s">
        <v>14</v>
      </c>
      <c r="U8" s="999"/>
      <c r="V8" s="1051" t="str">
        <f>IFERROR(IF(VLOOKUP(AS1,【参考】数式用2!E6:L23,3,FALSE)="","",VLOOKUP(AS1,【参考】数式用2!E6:L23,3,FALSE)),"")</f>
        <v/>
      </c>
      <c r="W8" s="1052"/>
      <c r="X8" s="1052"/>
      <c r="Y8" s="1052"/>
      <c r="Z8" s="1053"/>
      <c r="AA8" s="1034" t="str">
        <f>IFERROR(VLOOKUP(AS1,【参考】数式用2!E6:L23,4,FALSE),"")</f>
        <v/>
      </c>
      <c r="AB8" s="1034"/>
      <c r="AC8" s="1034"/>
      <c r="AD8" s="1034"/>
      <c r="AE8" s="1034"/>
      <c r="AF8" s="1034"/>
      <c r="AG8" s="1034"/>
      <c r="AH8" s="1034"/>
      <c r="AI8" s="1034"/>
      <c r="AJ8" s="1034"/>
      <c r="AK8" s="1034"/>
      <c r="AL8" s="1034"/>
      <c r="AM8" s="1034"/>
      <c r="AN8" s="1034"/>
      <c r="AO8" s="1034"/>
      <c r="AP8" s="1035"/>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4"/>
      <c r="C9" s="1095"/>
      <c r="D9" s="1095"/>
      <c r="E9" s="1095"/>
      <c r="F9" s="1096"/>
      <c r="G9" s="1097"/>
      <c r="H9" s="1098"/>
      <c r="I9" s="1098"/>
      <c r="J9" s="1098"/>
      <c r="K9" s="1099"/>
      <c r="L9" s="1100"/>
      <c r="M9" s="1101"/>
      <c r="N9" s="1101"/>
      <c r="O9" s="1101"/>
      <c r="P9" s="1102"/>
      <c r="Q9" s="1089" t="s">
        <v>2200</v>
      </c>
      <c r="R9" s="1090"/>
      <c r="S9" s="1090"/>
      <c r="T9" s="998"/>
      <c r="U9" s="999"/>
      <c r="V9" s="1054" t="str">
        <f>IFERROR(VLOOKUP(Y5,【参考】数式用!$A$5:$AB$27,MATCH(V8,【参考】数式用!$B$4:$AB$4,0)+1,FALSE),"")</f>
        <v/>
      </c>
      <c r="W9" s="1055"/>
      <c r="X9" s="1055"/>
      <c r="Y9" s="1055"/>
      <c r="Z9" s="1056"/>
      <c r="AA9" s="1036"/>
      <c r="AB9" s="1036"/>
      <c r="AC9" s="1036"/>
      <c r="AD9" s="1036"/>
      <c r="AE9" s="1036"/>
      <c r="AF9" s="1036"/>
      <c r="AG9" s="1036"/>
      <c r="AH9" s="1036"/>
      <c r="AI9" s="1036"/>
      <c r="AJ9" s="1036"/>
      <c r="AK9" s="1036"/>
      <c r="AL9" s="1036"/>
      <c r="AM9" s="1036"/>
      <c r="AN9" s="1036"/>
      <c r="AO9" s="1036"/>
      <c r="AP9" s="1037"/>
      <c r="AS9" s="183"/>
      <c r="AT9" s="1167"/>
      <c r="AU9" s="1167"/>
      <c r="AV9" s="1167"/>
      <c r="AW9" s="1167"/>
      <c r="AX9" s="1167"/>
      <c r="AY9" s="1167"/>
      <c r="AZ9" s="1167"/>
      <c r="BA9" s="184"/>
      <c r="CE9" s="988" t="s">
        <v>2388</v>
      </c>
      <c r="CF9" s="988"/>
      <c r="CG9" s="988"/>
      <c r="CH9" s="988"/>
      <c r="CI9" s="979" t="str">
        <f>IF(OR(AH62=1,AP62=1),1,"")</f>
        <v/>
      </c>
      <c r="CJ9" s="980"/>
    </row>
    <row r="10" spans="1:88" ht="11.25" customHeight="1">
      <c r="B10" s="1105" t="str">
        <f>IFERROR(VLOOKUP(Y5,【参考】数式用!$A$5:$J$27,MATCH(B9,【参考】数式用!$B$4:$J$4,0)+1,0),"")</f>
        <v/>
      </c>
      <c r="C10" s="1106"/>
      <c r="D10" s="1106"/>
      <c r="E10" s="1106"/>
      <c r="F10" s="1107"/>
      <c r="G10" s="1105" t="str">
        <f>IFERROR(VLOOKUP(Y5,【参考】数式用!$A$5:$J$27,MATCH(G9,【参考】数式用!$B$4:$J$4,0)+1,0),"")</f>
        <v/>
      </c>
      <c r="H10" s="1106"/>
      <c r="I10" s="1106"/>
      <c r="J10" s="1106"/>
      <c r="K10" s="1107"/>
      <c r="L10" s="1105" t="str">
        <f>IFERROR(VLOOKUP(Y5,【参考】数式用!$A$5:$J$27,MATCH(L9,【参考】数式用!$B$4:$J$4,0)+1,0),"")</f>
        <v/>
      </c>
      <c r="M10" s="1106"/>
      <c r="N10" s="1106"/>
      <c r="O10" s="1106"/>
      <c r="P10" s="1107"/>
      <c r="Q10" s="1111">
        <f>SUM(B10,G10,L10)</f>
        <v>0</v>
      </c>
      <c r="R10" s="1112"/>
      <c r="S10" s="1112"/>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8"/>
      <c r="C11" s="1109"/>
      <c r="D11" s="1109"/>
      <c r="E11" s="1109"/>
      <c r="F11" s="1110"/>
      <c r="G11" s="1108"/>
      <c r="H11" s="1109"/>
      <c r="I11" s="1109"/>
      <c r="J11" s="1109"/>
      <c r="K11" s="1110"/>
      <c r="L11" s="1108"/>
      <c r="M11" s="1109"/>
      <c r="N11" s="1109"/>
      <c r="O11" s="1109"/>
      <c r="P11" s="1110"/>
      <c r="Q11" s="1111"/>
      <c r="R11" s="1112"/>
      <c r="S11" s="1112"/>
      <c r="T11" s="1068"/>
      <c r="U11" s="999"/>
      <c r="V11" s="1060" t="str">
        <f>IFERROR(IF(VLOOKUP(AS1,【参考】数式用2!E6:L23,5,FALSE)="","",VLOOKUP(AS1,【参考】数式用2!E6:L23,5,FALSE)),"")</f>
        <v/>
      </c>
      <c r="W11" s="1060"/>
      <c r="X11" s="1060"/>
      <c r="Y11" s="1060"/>
      <c r="Z11" s="1060"/>
      <c r="AA11" s="1034" t="str">
        <f>IFERROR(VLOOKUP(AS1,【参考】数式用2!E6:L23,6,FALSE),"")</f>
        <v/>
      </c>
      <c r="AB11" s="1034"/>
      <c r="AC11" s="1034"/>
      <c r="AD11" s="1034"/>
      <c r="AE11" s="1034"/>
      <c r="AF11" s="1034"/>
      <c r="AG11" s="1034"/>
      <c r="AH11" s="1034"/>
      <c r="AI11" s="1034"/>
      <c r="AJ11" s="1034"/>
      <c r="AK11" s="1034"/>
      <c r="AL11" s="1034"/>
      <c r="AM11" s="1034"/>
      <c r="AN11" s="1034"/>
      <c r="AO11" s="1034"/>
      <c r="AP11" s="1035"/>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9"/>
      <c r="D12" s="1079"/>
      <c r="E12" s="1079"/>
      <c r="F12" s="1079"/>
      <c r="G12" s="1079"/>
      <c r="H12" s="1079"/>
      <c r="I12" s="1079"/>
      <c r="J12" s="1079"/>
      <c r="K12" s="1079"/>
      <c r="L12" s="1079"/>
      <c r="M12" s="1079"/>
      <c r="N12" s="1079"/>
      <c r="O12" s="1079"/>
      <c r="P12" s="1079"/>
      <c r="Q12" s="1079"/>
      <c r="R12" s="1079"/>
      <c r="S12" s="1079"/>
      <c r="T12" s="1068"/>
      <c r="U12" s="999"/>
      <c r="V12" s="1059" t="str">
        <f>IFERROR(VLOOKUP(Y5,【参考】数式用!$A$5:$AB$27,MATCH(V11,【参考】数式用!$B$4:$AB$4,0)+1,FALSE),"")</f>
        <v/>
      </c>
      <c r="W12" s="1059"/>
      <c r="X12" s="1059"/>
      <c r="Y12" s="1059"/>
      <c r="Z12" s="1059"/>
      <c r="AA12" s="1036"/>
      <c r="AB12" s="1036"/>
      <c r="AC12" s="1036"/>
      <c r="AD12" s="1036"/>
      <c r="AE12" s="1036"/>
      <c r="AF12" s="1036"/>
      <c r="AG12" s="1036"/>
      <c r="AH12" s="1036"/>
      <c r="AI12" s="1036"/>
      <c r="AJ12" s="1036"/>
      <c r="AK12" s="1036"/>
      <c r="AL12" s="1036"/>
      <c r="AM12" s="1036"/>
      <c r="AN12" s="1036"/>
      <c r="AO12" s="1036"/>
      <c r="AP12" s="1037"/>
      <c r="AS12" s="183"/>
      <c r="AT12" s="1167"/>
      <c r="AU12" s="1167"/>
      <c r="AV12" s="1167"/>
      <c r="AW12" s="1167"/>
      <c r="AX12" s="1167"/>
      <c r="AY12" s="1167"/>
      <c r="AZ12" s="1167"/>
      <c r="BA12" s="184"/>
    </row>
    <row r="13" spans="1:88" ht="12" customHeight="1">
      <c r="A13" s="178"/>
      <c r="B13" s="1122" t="s">
        <v>2288</v>
      </c>
      <c r="C13" s="1123"/>
      <c r="D13" s="1123"/>
      <c r="E13" s="1123"/>
      <c r="F13" s="1123"/>
      <c r="G13" s="1123"/>
      <c r="H13" s="1123"/>
      <c r="I13" s="1123"/>
      <c r="J13" s="1123"/>
      <c r="K13" s="1123"/>
      <c r="L13" s="1123"/>
      <c r="M13" s="1123"/>
      <c r="N13" s="1123"/>
      <c r="O13" s="1123"/>
      <c r="P13" s="1123"/>
      <c r="Q13" s="1123"/>
      <c r="R13" s="1123"/>
      <c r="S13" s="1124"/>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5"/>
      <c r="C14" s="1126"/>
      <c r="D14" s="1126"/>
      <c r="E14" s="1126"/>
      <c r="F14" s="1126"/>
      <c r="G14" s="1126"/>
      <c r="H14" s="1126"/>
      <c r="I14" s="1126"/>
      <c r="J14" s="1126"/>
      <c r="K14" s="1126"/>
      <c r="L14" s="1126"/>
      <c r="M14" s="1126"/>
      <c r="N14" s="1126"/>
      <c r="O14" s="1126"/>
      <c r="P14" s="1126"/>
      <c r="Q14" s="1126"/>
      <c r="R14" s="1126"/>
      <c r="S14" s="1127"/>
      <c r="U14" s="528"/>
      <c r="V14" s="1060" t="str">
        <f>IFERROR(IF(VLOOKUP(AS1,【参考】数式用2!E6:L23,7,FALSE)="","",VLOOKUP(AS1,【参考】数式用2!E6:L23,7,FALSE)),"")</f>
        <v/>
      </c>
      <c r="W14" s="1060"/>
      <c r="X14" s="1060"/>
      <c r="Y14" s="1060"/>
      <c r="Z14" s="1060"/>
      <c r="AA14" s="1044" t="str">
        <f>IFERROR(VLOOKUP(AS1,【参考】数式用2!E6:L23,8,FALSE),"")</f>
        <v/>
      </c>
      <c r="AB14" s="1034"/>
      <c r="AC14" s="1034"/>
      <c r="AD14" s="1034"/>
      <c r="AE14" s="1034"/>
      <c r="AF14" s="1034"/>
      <c r="AG14" s="1034"/>
      <c r="AH14" s="1034"/>
      <c r="AI14" s="1034"/>
      <c r="AJ14" s="1034"/>
      <c r="AK14" s="1034"/>
      <c r="AL14" s="1034"/>
      <c r="AM14" s="1034"/>
      <c r="AN14" s="1034"/>
      <c r="AO14" s="1034"/>
      <c r="AP14" s="1035"/>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3" t="s">
        <v>2282</v>
      </c>
      <c r="C15" s="1114"/>
      <c r="D15" s="147">
        <v>6</v>
      </c>
      <c r="E15" s="530" t="s">
        <v>2283</v>
      </c>
      <c r="F15" s="147">
        <v>4</v>
      </c>
      <c r="G15" s="530" t="s">
        <v>2284</v>
      </c>
      <c r="H15" s="1115" t="s">
        <v>2285</v>
      </c>
      <c r="I15" s="1115"/>
      <c r="J15" s="1128"/>
      <c r="K15" s="147">
        <v>7</v>
      </c>
      <c r="L15" s="530" t="s">
        <v>2283</v>
      </c>
      <c r="M15" s="147">
        <v>3</v>
      </c>
      <c r="N15" s="530" t="s">
        <v>2284</v>
      </c>
      <c r="O15" s="530" t="s">
        <v>2286</v>
      </c>
      <c r="P15" s="204">
        <f>(K15*12+M15)-(D15*12+F15)+1</f>
        <v>12</v>
      </c>
      <c r="Q15" s="1115" t="s">
        <v>2287</v>
      </c>
      <c r="R15" s="1115"/>
      <c r="S15" s="205" t="s">
        <v>74</v>
      </c>
      <c r="U15" s="528"/>
      <c r="V15" s="1116" t="str">
        <f>IFERROR(VLOOKUP(Y5,【参考】数式用!$A$5:$AB$27,MATCH(V14,【参考】数式用!$B$4:$AB$4,0)+1,FALSE),"")</f>
        <v/>
      </c>
      <c r="W15" s="1117"/>
      <c r="X15" s="1117"/>
      <c r="Y15" s="1117"/>
      <c r="Z15" s="1118"/>
      <c r="AA15" s="1045"/>
      <c r="AB15" s="1046"/>
      <c r="AC15" s="1046"/>
      <c r="AD15" s="1046"/>
      <c r="AE15" s="1046"/>
      <c r="AF15" s="1046"/>
      <c r="AG15" s="1046"/>
      <c r="AH15" s="1046"/>
      <c r="AI15" s="1046"/>
      <c r="AJ15" s="1046"/>
      <c r="AK15" s="1046"/>
      <c r="AL15" s="1046"/>
      <c r="AM15" s="1046"/>
      <c r="AN15" s="1046"/>
      <c r="AO15" s="1046"/>
      <c r="AP15" s="1047"/>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9"/>
      <c r="W16" s="1120"/>
      <c r="X16" s="1120"/>
      <c r="Y16" s="1120"/>
      <c r="Z16" s="1121"/>
      <c r="AA16" s="1048"/>
      <c r="AB16" s="1049"/>
      <c r="AC16" s="1049"/>
      <c r="AD16" s="1049"/>
      <c r="AE16" s="1049"/>
      <c r="AF16" s="1049"/>
      <c r="AG16" s="1049"/>
      <c r="AH16" s="1049"/>
      <c r="AI16" s="1049"/>
      <c r="AJ16" s="1049"/>
      <c r="AK16" s="1049"/>
      <c r="AL16" s="1049"/>
      <c r="AM16" s="1049"/>
      <c r="AN16" s="1049"/>
      <c r="AO16" s="1049"/>
      <c r="AP16" s="1050"/>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03" t="s">
        <v>2211</v>
      </c>
      <c r="C18" s="1103"/>
      <c r="D18" s="1103"/>
      <c r="E18" s="1103"/>
      <c r="F18" s="1103"/>
      <c r="G18" s="1103"/>
      <c r="H18" s="1103"/>
      <c r="I18" s="1103"/>
      <c r="J18" s="1103"/>
      <c r="K18" s="1103"/>
      <c r="L18" s="1103"/>
      <c r="M18" s="1103"/>
      <c r="N18" s="1103"/>
      <c r="O18" s="1103"/>
      <c r="P18" s="1103"/>
      <c r="Q18" s="1103"/>
      <c r="R18" s="1103"/>
      <c r="S18" s="1103"/>
      <c r="AI18" s="216"/>
      <c r="AJ18" s="216"/>
      <c r="AK18" s="216"/>
      <c r="AL18" s="216"/>
      <c r="AM18" s="216"/>
      <c r="AN18" s="216"/>
      <c r="AO18" s="216"/>
      <c r="AP18" s="216"/>
      <c r="AQ18" s="216"/>
    </row>
    <row r="19" spans="2:60" ht="6" customHeight="1" thickBot="1">
      <c r="B19" s="1103"/>
      <c r="C19" s="1103"/>
      <c r="D19" s="1103"/>
      <c r="E19" s="1103"/>
      <c r="F19" s="1103"/>
      <c r="G19" s="1103"/>
      <c r="H19" s="1103"/>
      <c r="I19" s="1103"/>
      <c r="J19" s="1103"/>
      <c r="K19" s="1103"/>
      <c r="L19" s="1103"/>
      <c r="M19" s="1103"/>
      <c r="N19" s="1103"/>
      <c r="O19" s="1103"/>
      <c r="P19" s="1103"/>
      <c r="Q19" s="1103"/>
      <c r="R19" s="1103"/>
      <c r="S19" s="1103"/>
      <c r="AI19" s="216"/>
      <c r="AJ19" s="216"/>
      <c r="AK19" s="216"/>
      <c r="AL19" s="216"/>
      <c r="AM19" s="216"/>
      <c r="AN19" s="216"/>
      <c r="AO19" s="216"/>
      <c r="AP19" s="216"/>
      <c r="AQ19" s="216"/>
    </row>
    <row r="20" spans="2:60" ht="12.95" customHeight="1">
      <c r="B20" s="1104"/>
      <c r="C20" s="1104"/>
      <c r="D20" s="1104"/>
      <c r="E20" s="1104"/>
      <c r="F20" s="1104"/>
      <c r="G20" s="1104"/>
      <c r="H20" s="1104"/>
      <c r="I20" s="1104"/>
      <c r="J20" s="1104"/>
      <c r="K20" s="1104"/>
      <c r="L20" s="1104"/>
      <c r="M20" s="1104"/>
      <c r="N20" s="1104"/>
      <c r="O20" s="1104"/>
      <c r="P20" s="1104"/>
      <c r="Q20" s="1104"/>
      <c r="R20" s="1104"/>
      <c r="S20" s="1104"/>
      <c r="T20" s="217"/>
      <c r="U20" s="178"/>
      <c r="V20" s="1078" t="s">
        <v>244</v>
      </c>
      <c r="W20" s="1078"/>
      <c r="X20" s="1078"/>
      <c r="Y20" s="1078"/>
      <c r="Z20" s="1078"/>
      <c r="AA20" s="191"/>
      <c r="AB20" s="191"/>
      <c r="AC20" s="1078" t="str">
        <f>IF(F15=4,"R6.4～R6.5",IF(F15=5,"R6.5",""))</f>
        <v>R6.4～R6.5</v>
      </c>
      <c r="AD20" s="1078"/>
      <c r="AE20" s="1078"/>
      <c r="AF20" s="1078"/>
      <c r="AG20" s="1078"/>
      <c r="AH20" s="1078"/>
      <c r="AI20" s="191"/>
      <c r="AJ20" s="191"/>
      <c r="AK20" s="1078" t="str">
        <f>IF(OR(F15=4,F15=5),"R6.6","R"&amp;D15&amp;"."&amp;F15)&amp;"～R"&amp;K15&amp;"."&amp;M15</f>
        <v>R6.6～R7.3</v>
      </c>
      <c r="AL20" s="1078"/>
      <c r="AM20" s="1078"/>
      <c r="AN20" s="1078"/>
      <c r="AO20" s="1078"/>
      <c r="AP20" s="1078"/>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20" t="s">
        <v>2295</v>
      </c>
      <c r="C21" s="1021"/>
      <c r="D21" s="1021"/>
      <c r="E21" s="1021"/>
      <c r="F21" s="1022"/>
      <c r="G21" s="1061" t="s">
        <v>245</v>
      </c>
      <c r="H21" s="1062"/>
      <c r="I21" s="1062"/>
      <c r="J21" s="1062"/>
      <c r="K21" s="1062"/>
      <c r="L21" s="1062"/>
      <c r="M21" s="1062"/>
      <c r="N21" s="1062"/>
      <c r="O21" s="1062"/>
      <c r="P21" s="1062"/>
      <c r="Q21" s="1062"/>
      <c r="R21" s="1062"/>
      <c r="S21" s="1062"/>
      <c r="T21" s="1063"/>
      <c r="U21" s="218"/>
      <c r="V21" s="526" t="str">
        <f>IFERROR(IF(L9="ベア加算","✓",""),"")</f>
        <v/>
      </c>
      <c r="W21" s="985" t="s">
        <v>16</v>
      </c>
      <c r="X21" s="985"/>
      <c r="Y21" s="985"/>
      <c r="Z21" s="985"/>
      <c r="AA21" s="998" t="s">
        <v>14</v>
      </c>
      <c r="AB21" s="999"/>
      <c r="AC21" s="220"/>
      <c r="AD21" s="1058" t="s">
        <v>16</v>
      </c>
      <c r="AE21" s="1058"/>
      <c r="AF21" s="1058"/>
      <c r="AG21" s="1058"/>
      <c r="AH21" s="1058"/>
      <c r="AI21" s="998" t="s">
        <v>14</v>
      </c>
      <c r="AJ21" s="999"/>
      <c r="AK21" s="221"/>
      <c r="AL21" s="1058" t="s">
        <v>16</v>
      </c>
      <c r="AM21" s="1058"/>
      <c r="AN21" s="1058"/>
      <c r="AO21" s="1058"/>
      <c r="AP21" s="1058"/>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26"/>
      <c r="C22" s="1027"/>
      <c r="D22" s="1027"/>
      <c r="E22" s="1027"/>
      <c r="F22" s="1028"/>
      <c r="G22" s="1065"/>
      <c r="H22" s="1066"/>
      <c r="I22" s="1066"/>
      <c r="J22" s="1066"/>
      <c r="K22" s="1066"/>
      <c r="L22" s="1066"/>
      <c r="M22" s="1066"/>
      <c r="N22" s="1066"/>
      <c r="O22" s="1066"/>
      <c r="P22" s="1066"/>
      <c r="Q22" s="1066"/>
      <c r="R22" s="1066"/>
      <c r="S22" s="1066"/>
      <c r="T22" s="1067"/>
      <c r="U22" s="218"/>
      <c r="V22" s="222" t="str">
        <f>IFERROR(IF(L9="ベア加算なし","✓",""),"")</f>
        <v/>
      </c>
      <c r="W22" s="1012" t="s">
        <v>17</v>
      </c>
      <c r="X22" s="985"/>
      <c r="Y22" s="1013"/>
      <c r="Z22" s="1014"/>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20" t="s">
        <v>2219</v>
      </c>
      <c r="C24" s="1021"/>
      <c r="D24" s="1021"/>
      <c r="E24" s="1021"/>
      <c r="F24" s="1022"/>
      <c r="G24" s="1061" t="s">
        <v>246</v>
      </c>
      <c r="H24" s="1062"/>
      <c r="I24" s="1062"/>
      <c r="J24" s="1062"/>
      <c r="K24" s="1062"/>
      <c r="L24" s="1062"/>
      <c r="M24" s="1062"/>
      <c r="N24" s="1062"/>
      <c r="O24" s="1062"/>
      <c r="P24" s="1062"/>
      <c r="Q24" s="1062"/>
      <c r="R24" s="1062"/>
      <c r="S24" s="1062"/>
      <c r="T24" s="1063"/>
      <c r="U24" s="218"/>
      <c r="V24" s="526" t="str">
        <f>IFERROR(IF(OR(B9="処遇加算Ⅰ",B9="処遇加算Ⅱ"),"✓",""),"")</f>
        <v/>
      </c>
      <c r="W24" s="1030" t="s">
        <v>2254</v>
      </c>
      <c r="X24" s="1031"/>
      <c r="Y24" s="1031"/>
      <c r="Z24" s="1032"/>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023"/>
      <c r="C25" s="1024"/>
      <c r="D25" s="1024"/>
      <c r="E25" s="1024"/>
      <c r="F25" s="1025"/>
      <c r="G25" s="1045"/>
      <c r="H25" s="1046"/>
      <c r="I25" s="1046"/>
      <c r="J25" s="1046"/>
      <c r="K25" s="1046"/>
      <c r="L25" s="1046"/>
      <c r="M25" s="1046"/>
      <c r="N25" s="1046"/>
      <c r="O25" s="1046"/>
      <c r="P25" s="1046"/>
      <c r="Q25" s="1046"/>
      <c r="R25" s="1046"/>
      <c r="S25" s="1046"/>
      <c r="T25" s="1064"/>
      <c r="U25" s="218"/>
      <c r="V25" s="526" t="str">
        <f>IFERROR(IF(B9="処遇加算Ⅲ","✓",""),"")</f>
        <v/>
      </c>
      <c r="W25" s="1030" t="s">
        <v>21</v>
      </c>
      <c r="X25" s="1031"/>
      <c r="Y25" s="1031"/>
      <c r="Z25" s="1032"/>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26"/>
      <c r="C26" s="1027"/>
      <c r="D26" s="1027"/>
      <c r="E26" s="1027"/>
      <c r="F26" s="1028"/>
      <c r="G26" s="1065"/>
      <c r="H26" s="1066"/>
      <c r="I26" s="1066"/>
      <c r="J26" s="1066"/>
      <c r="K26" s="1066"/>
      <c r="L26" s="1066"/>
      <c r="M26" s="1066"/>
      <c r="N26" s="1066"/>
      <c r="O26" s="1066"/>
      <c r="P26" s="1066"/>
      <c r="Q26" s="1066"/>
      <c r="R26" s="1066"/>
      <c r="S26" s="1066"/>
      <c r="T26" s="1067"/>
      <c r="U26" s="192"/>
      <c r="V26" s="526" t="str">
        <f>IFERROR(IF(B9="処遇加算なし","✓",""),"")</f>
        <v/>
      </c>
      <c r="W26" s="1030" t="s">
        <v>2255</v>
      </c>
      <c r="X26" s="1031"/>
      <c r="Y26" s="1031"/>
      <c r="Z26" s="1032"/>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20" t="s">
        <v>2220</v>
      </c>
      <c r="C28" s="1021"/>
      <c r="D28" s="1021"/>
      <c r="E28" s="1021"/>
      <c r="F28" s="1022"/>
      <c r="G28" s="1062" t="s">
        <v>2217</v>
      </c>
      <c r="H28" s="1062"/>
      <c r="I28" s="1062"/>
      <c r="J28" s="1062"/>
      <c r="K28" s="1062"/>
      <c r="L28" s="1062"/>
      <c r="M28" s="1062"/>
      <c r="N28" s="1062"/>
      <c r="O28" s="1062"/>
      <c r="P28" s="1062"/>
      <c r="Q28" s="1062"/>
      <c r="R28" s="1062"/>
      <c r="S28" s="1062"/>
      <c r="T28" s="1063"/>
      <c r="U28" s="218"/>
      <c r="V28" s="526" t="str">
        <f>IFERROR(IF(OR(B9="処遇加算Ⅰ",B9="処遇加算Ⅱ"),"✓",""),"")</f>
        <v/>
      </c>
      <c r="W28" s="1030" t="s">
        <v>2254</v>
      </c>
      <c r="X28" s="1031"/>
      <c r="Y28" s="1031"/>
      <c r="Z28" s="1032"/>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023"/>
      <c r="C29" s="1024"/>
      <c r="D29" s="1024"/>
      <c r="E29" s="1024"/>
      <c r="F29" s="1025"/>
      <c r="G29" s="1046"/>
      <c r="H29" s="1046"/>
      <c r="I29" s="1046"/>
      <c r="J29" s="1046"/>
      <c r="K29" s="1046"/>
      <c r="L29" s="1046"/>
      <c r="M29" s="1046"/>
      <c r="N29" s="1046"/>
      <c r="O29" s="1046"/>
      <c r="P29" s="1046"/>
      <c r="Q29" s="1046"/>
      <c r="R29" s="1046"/>
      <c r="S29" s="1046"/>
      <c r="T29" s="1064"/>
      <c r="U29" s="218"/>
      <c r="V29" s="526" t="str">
        <f>IFERROR(IF(B9="処遇加算Ⅲ","✓",""),"")</f>
        <v/>
      </c>
      <c r="W29" s="1030" t="s">
        <v>21</v>
      </c>
      <c r="X29" s="1031"/>
      <c r="Y29" s="1031"/>
      <c r="Z29" s="1032"/>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26"/>
      <c r="C30" s="1027"/>
      <c r="D30" s="1027"/>
      <c r="E30" s="1027"/>
      <c r="F30" s="1028"/>
      <c r="G30" s="1066"/>
      <c r="H30" s="1066"/>
      <c r="I30" s="1066"/>
      <c r="J30" s="1066"/>
      <c r="K30" s="1066"/>
      <c r="L30" s="1066"/>
      <c r="M30" s="1066"/>
      <c r="N30" s="1066"/>
      <c r="O30" s="1066"/>
      <c r="P30" s="1066"/>
      <c r="Q30" s="1066"/>
      <c r="R30" s="1066"/>
      <c r="S30" s="1066"/>
      <c r="T30" s="1067"/>
      <c r="U30" s="192"/>
      <c r="V30" s="526" t="str">
        <f>IFERROR(IF(B9="処遇加算なし","✓",""),"")</f>
        <v/>
      </c>
      <c r="W30" s="1030" t="s">
        <v>2255</v>
      </c>
      <c r="X30" s="1031"/>
      <c r="Y30" s="1031"/>
      <c r="Z30" s="1032"/>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9" t="s">
        <v>2221</v>
      </c>
      <c r="C32" s="1019"/>
      <c r="D32" s="1019"/>
      <c r="E32" s="1019"/>
      <c r="F32" s="1019"/>
      <c r="G32" s="1029" t="s">
        <v>2218</v>
      </c>
      <c r="H32" s="1029"/>
      <c r="I32" s="1029"/>
      <c r="J32" s="1029"/>
      <c r="K32" s="1029"/>
      <c r="L32" s="1029"/>
      <c r="M32" s="1029"/>
      <c r="N32" s="1029"/>
      <c r="O32" s="1029"/>
      <c r="P32" s="1029"/>
      <c r="Q32" s="1029"/>
      <c r="R32" s="1029"/>
      <c r="S32" s="1029"/>
      <c r="T32" s="1029"/>
      <c r="U32" s="218"/>
      <c r="V32" s="526" t="str">
        <f>IFERROR(IF(B9="処遇加算Ⅰ","✓",""),"")</f>
        <v/>
      </c>
      <c r="W32" s="1012" t="s">
        <v>16</v>
      </c>
      <c r="X32" s="1013"/>
      <c r="Y32" s="1013"/>
      <c r="Z32" s="1014"/>
      <c r="AA32" s="1068" t="s">
        <v>14</v>
      </c>
      <c r="AB32" s="999"/>
      <c r="AC32" s="220"/>
      <c r="AD32" s="987" t="s">
        <v>16</v>
      </c>
      <c r="AE32" s="987"/>
      <c r="AF32" s="987"/>
      <c r="AG32" s="987"/>
      <c r="AH32" s="987"/>
      <c r="AI32" s="1068"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019"/>
      <c r="C33" s="1019"/>
      <c r="D33" s="1019"/>
      <c r="E33" s="1019"/>
      <c r="F33" s="1019"/>
      <c r="G33" s="1029"/>
      <c r="H33" s="1029"/>
      <c r="I33" s="1029"/>
      <c r="J33" s="1029"/>
      <c r="K33" s="1029"/>
      <c r="L33" s="1029"/>
      <c r="M33" s="1029"/>
      <c r="N33" s="1029"/>
      <c r="O33" s="1029"/>
      <c r="P33" s="1029"/>
      <c r="Q33" s="1029"/>
      <c r="R33" s="1029"/>
      <c r="S33" s="1029"/>
      <c r="T33" s="1029"/>
      <c r="U33" s="218"/>
      <c r="V33" s="526" t="str">
        <f>IFERROR(IF(AND(B9&lt;&gt;"",B9&lt;&gt;"処遇加算Ⅰ"),"✓",""),"")</f>
        <v/>
      </c>
      <c r="W33" s="1012" t="s">
        <v>17</v>
      </c>
      <c r="X33" s="1013"/>
      <c r="Y33" s="1013"/>
      <c r="Z33" s="1014"/>
      <c r="AA33" s="1068"/>
      <c r="AB33" s="999"/>
      <c r="AC33" s="220"/>
      <c r="AD33" s="1015" t="s">
        <v>19</v>
      </c>
      <c r="AE33" s="1015"/>
      <c r="AF33" s="1015"/>
      <c r="AG33" s="1015"/>
      <c r="AH33" s="1015"/>
      <c r="AI33" s="1068"/>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019"/>
      <c r="C34" s="1019"/>
      <c r="D34" s="1019"/>
      <c r="E34" s="1019"/>
      <c r="F34" s="1019"/>
      <c r="G34" s="1029"/>
      <c r="H34" s="1029"/>
      <c r="I34" s="1029"/>
      <c r="J34" s="1029"/>
      <c r="K34" s="1029"/>
      <c r="L34" s="1029"/>
      <c r="M34" s="1029"/>
      <c r="N34" s="1029"/>
      <c r="O34" s="1029"/>
      <c r="P34" s="1029"/>
      <c r="Q34" s="1029"/>
      <c r="R34" s="1029"/>
      <c r="S34" s="1029"/>
      <c r="T34" s="1029"/>
      <c r="U34" s="192"/>
      <c r="V34" s="225"/>
      <c r="W34" s="197"/>
      <c r="X34" s="197"/>
      <c r="Y34" s="197"/>
      <c r="Z34" s="197"/>
      <c r="AA34" s="1068"/>
      <c r="AB34" s="999"/>
      <c r="AC34" s="220"/>
      <c r="AD34" s="985" t="s">
        <v>17</v>
      </c>
      <c r="AE34" s="985"/>
      <c r="AF34" s="985"/>
      <c r="AG34" s="985"/>
      <c r="AH34" s="985"/>
      <c r="AI34" s="1068"/>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9" t="s">
        <v>2222</v>
      </c>
      <c r="C36" s="1019"/>
      <c r="D36" s="1019"/>
      <c r="E36" s="1019"/>
      <c r="F36" s="1019"/>
      <c r="G36" s="1011" t="s">
        <v>2263</v>
      </c>
      <c r="H36" s="1011"/>
      <c r="I36" s="1011"/>
      <c r="J36" s="1011"/>
      <c r="K36" s="1011"/>
      <c r="L36" s="1011"/>
      <c r="M36" s="1011"/>
      <c r="N36" s="1011"/>
      <c r="O36" s="1011"/>
      <c r="P36" s="1011"/>
      <c r="Q36" s="1011"/>
      <c r="R36" s="1011"/>
      <c r="S36" s="1011"/>
      <c r="T36" s="1011"/>
      <c r="U36" s="218"/>
      <c r="V36" s="526" t="str">
        <f>IFERROR(IF(OR(G9="特定加算Ⅰ",G9="特定加算Ⅱ"),"✓",""),"")</f>
        <v/>
      </c>
      <c r="W36" s="1012" t="s">
        <v>16</v>
      </c>
      <c r="X36" s="1013"/>
      <c r="Y36" s="1013"/>
      <c r="Z36" s="1014"/>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019"/>
      <c r="C37" s="1019"/>
      <c r="D37" s="1019"/>
      <c r="E37" s="1019"/>
      <c r="F37" s="1019"/>
      <c r="G37" s="1011"/>
      <c r="H37" s="1011"/>
      <c r="I37" s="1011"/>
      <c r="J37" s="1011"/>
      <c r="K37" s="1011"/>
      <c r="L37" s="1011"/>
      <c r="M37" s="1011"/>
      <c r="N37" s="1011"/>
      <c r="O37" s="1011"/>
      <c r="P37" s="1011"/>
      <c r="Q37" s="1011"/>
      <c r="R37" s="1011"/>
      <c r="S37" s="1011"/>
      <c r="T37" s="1011"/>
      <c r="U37" s="218"/>
      <c r="V37" s="526" t="str">
        <f>IFERROR(IF(G9="特定加算なし","✓",""),"")</f>
        <v/>
      </c>
      <c r="W37" s="1012" t="s">
        <v>17</v>
      </c>
      <c r="X37" s="1013"/>
      <c r="Y37" s="1013"/>
      <c r="Z37" s="1014"/>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019"/>
      <c r="C38" s="1019"/>
      <c r="D38" s="1019"/>
      <c r="E38" s="1019"/>
      <c r="F38" s="1019"/>
      <c r="G38" s="1011"/>
      <c r="H38" s="1011"/>
      <c r="I38" s="1011"/>
      <c r="J38" s="1011"/>
      <c r="K38" s="1011"/>
      <c r="L38" s="1011"/>
      <c r="M38" s="1011"/>
      <c r="N38" s="1011"/>
      <c r="O38" s="1011"/>
      <c r="P38" s="1011"/>
      <c r="Q38" s="1011"/>
      <c r="R38" s="1011"/>
      <c r="S38" s="1011"/>
      <c r="T38" s="1011"/>
      <c r="U38" s="218"/>
      <c r="Z38" s="233"/>
      <c r="AA38" s="1068"/>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9" t="s">
        <v>2223</v>
      </c>
      <c r="C40" s="1019"/>
      <c r="D40" s="1019"/>
      <c r="E40" s="1019"/>
      <c r="F40" s="1019"/>
      <c r="G40" s="1029" t="str">
        <f>IFERROR(VLOOKUP(Y5,【参考】数式用!AS5:AT27,2,0),"")</f>
        <v/>
      </c>
      <c r="H40" s="1029"/>
      <c r="I40" s="1029"/>
      <c r="J40" s="1029"/>
      <c r="K40" s="1029"/>
      <c r="L40" s="1029"/>
      <c r="M40" s="1029"/>
      <c r="N40" s="1029"/>
      <c r="O40" s="1029"/>
      <c r="P40" s="1029"/>
      <c r="Q40" s="1029"/>
      <c r="R40" s="1029"/>
      <c r="S40" s="1029"/>
      <c r="T40" s="1029"/>
      <c r="U40" s="192"/>
      <c r="V40" s="526" t="str">
        <f>IFERROR(IF(G9="特定加算Ⅰ","✓",""),"")</f>
        <v/>
      </c>
      <c r="W40" s="1012" t="s">
        <v>16</v>
      </c>
      <c r="X40" s="1013"/>
      <c r="Y40" s="1013"/>
      <c r="Z40" s="1014"/>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019"/>
      <c r="C41" s="1019"/>
      <c r="D41" s="1019"/>
      <c r="E41" s="1019"/>
      <c r="F41" s="1019"/>
      <c r="G41" s="1029"/>
      <c r="H41" s="1029"/>
      <c r="I41" s="1029"/>
      <c r="J41" s="1029"/>
      <c r="K41" s="1029"/>
      <c r="L41" s="1029"/>
      <c r="M41" s="1029"/>
      <c r="N41" s="1029"/>
      <c r="O41" s="1029"/>
      <c r="P41" s="1029"/>
      <c r="Q41" s="1029"/>
      <c r="R41" s="1029"/>
      <c r="S41" s="1029"/>
      <c r="T41" s="1029"/>
      <c r="U41" s="192"/>
      <c r="V41" s="526" t="str">
        <f>IFERROR(IF(OR(G9="特定加算Ⅱ",G9="特定加算なし"),"✓",""),"")</f>
        <v/>
      </c>
      <c r="W41" s="1012" t="s">
        <v>17</v>
      </c>
      <c r="X41" s="1013"/>
      <c r="Y41" s="1013"/>
      <c r="Z41" s="1014"/>
      <c r="AA41" s="998"/>
      <c r="AB41" s="999"/>
      <c r="AC41" s="234" t="s">
        <v>90</v>
      </c>
      <c r="AD41" s="1133"/>
      <c r="AE41" s="1134"/>
      <c r="AF41" s="1134"/>
      <c r="AG41" s="1134"/>
      <c r="AH41" s="1135"/>
      <c r="AI41" s="998"/>
      <c r="AJ41" s="999"/>
      <c r="AK41" s="234" t="s">
        <v>90</v>
      </c>
      <c r="AL41" s="1133"/>
      <c r="AM41" s="1134"/>
      <c r="AN41" s="1134"/>
      <c r="AO41" s="1134"/>
      <c r="AP41" s="1135"/>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019"/>
      <c r="C42" s="1019"/>
      <c r="D42" s="1019"/>
      <c r="E42" s="1019"/>
      <c r="F42" s="1019"/>
      <c r="G42" s="1029"/>
      <c r="H42" s="1029"/>
      <c r="I42" s="1029"/>
      <c r="J42" s="1029"/>
      <c r="K42" s="1029"/>
      <c r="L42" s="1029"/>
      <c r="M42" s="1029"/>
      <c r="N42" s="1029"/>
      <c r="O42" s="1029"/>
      <c r="P42" s="1029"/>
      <c r="Q42" s="1029"/>
      <c r="R42" s="1029"/>
      <c r="S42" s="1029"/>
      <c r="T42" s="1029"/>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9" t="s">
        <v>2224</v>
      </c>
      <c r="C44" s="1019"/>
      <c r="D44" s="1019"/>
      <c r="E44" s="1019"/>
      <c r="F44" s="1019"/>
      <c r="G44" s="1029" t="s">
        <v>2161</v>
      </c>
      <c r="H44" s="1029"/>
      <c r="I44" s="1029"/>
      <c r="J44" s="1029"/>
      <c r="K44" s="1029"/>
      <c r="L44" s="1029"/>
      <c r="M44" s="1029"/>
      <c r="N44" s="1029"/>
      <c r="O44" s="1029"/>
      <c r="P44" s="1029"/>
      <c r="Q44" s="1029"/>
      <c r="R44" s="1029"/>
      <c r="S44" s="1029"/>
      <c r="T44" s="1029"/>
      <c r="U44" s="218"/>
      <c r="V44" s="526" t="str">
        <f>IFERROR(IF(OR(G9="特定加算Ⅰ",G9="特定加算Ⅱ"),"✓",""),"")</f>
        <v/>
      </c>
      <c r="W44" s="1012" t="s">
        <v>16</v>
      </c>
      <c r="X44" s="1013"/>
      <c r="Y44" s="1013"/>
      <c r="Z44" s="1014"/>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019"/>
      <c r="C45" s="1019"/>
      <c r="D45" s="1019"/>
      <c r="E45" s="1019"/>
      <c r="F45" s="1019"/>
      <c r="G45" s="1029"/>
      <c r="H45" s="1029"/>
      <c r="I45" s="1029"/>
      <c r="J45" s="1029"/>
      <c r="K45" s="1029"/>
      <c r="L45" s="1029"/>
      <c r="M45" s="1029"/>
      <c r="N45" s="1029"/>
      <c r="O45" s="1029"/>
      <c r="P45" s="1029"/>
      <c r="Q45" s="1029"/>
      <c r="R45" s="1029"/>
      <c r="S45" s="1029"/>
      <c r="T45" s="1029"/>
      <c r="U45" s="218"/>
      <c r="V45" s="526" t="str">
        <f>IFERROR(IF(G9="特定加算なし","✓",""),"")</f>
        <v/>
      </c>
      <c r="W45" s="1012" t="s">
        <v>17</v>
      </c>
      <c r="X45" s="1013"/>
      <c r="Y45" s="1013"/>
      <c r="Z45" s="1014"/>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03" t="s">
        <v>2317</v>
      </c>
      <c r="C47" s="1103"/>
      <c r="D47" s="1103"/>
      <c r="E47" s="1103"/>
      <c r="F47" s="1103"/>
      <c r="G47" s="1103"/>
      <c r="H47" s="1103"/>
      <c r="I47" s="1103"/>
      <c r="J47" s="1103"/>
      <c r="K47" s="1103"/>
      <c r="L47" s="1103"/>
      <c r="M47" s="1103"/>
      <c r="N47" s="1103"/>
      <c r="O47" s="1103"/>
      <c r="P47" s="1103"/>
      <c r="Q47" s="1103"/>
      <c r="R47" s="1103"/>
      <c r="S47" s="1103"/>
      <c r="T47" s="1103"/>
      <c r="U47" s="1103"/>
      <c r="V47" s="1103"/>
      <c r="W47" s="1103"/>
      <c r="X47" s="1103"/>
      <c r="Y47" s="1103"/>
      <c r="Z47" s="1103"/>
      <c r="AA47" s="1103"/>
      <c r="AB47" s="1103"/>
      <c r="AC47" s="1103"/>
      <c r="AD47" s="1103"/>
      <c r="AE47" s="1103"/>
      <c r="AF47" s="1103"/>
      <c r="AG47" s="1103"/>
      <c r="AH47" s="1103"/>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14</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8" t="str">
        <f>IFERROR(IF(AND(OR(AH58=1,AH58=2),OR(AH59=1,AH59=2),OR(AH60=1,AH60=2)),"処遇加算Ⅰ",IF(AND(OR(AH58=1,AH58=2),OR(AH59=1,AH59=2),OR(AH60=0,AH60=3)),"処遇加算Ⅱ",IF(OR(OR(AH58=1,AH58=2),OR(AH59=1,AH59=2)),"処遇加算Ⅲ",""))),"")</f>
        <v/>
      </c>
      <c r="H49" s="1139"/>
      <c r="I49" s="1139"/>
      <c r="J49" s="1139"/>
      <c r="K49" s="1165"/>
      <c r="L49" s="1138" t="str">
        <f>IFERROR(IF(G9="","",IF(AND(OR(AH61=1,AH61=2),AH62=1,AH63=1),"特定加算Ⅰ",IF(AND(OR(AH61=1,AH61=2),AH62=2,AH63=1),"特定加算Ⅱ",IF(OR(AH61=3,AH62=2,AH63=2),"特定加算なし","")))),"")</f>
        <v/>
      </c>
      <c r="M49" s="1139"/>
      <c r="N49" s="1139"/>
      <c r="O49" s="1139"/>
      <c r="P49" s="1140"/>
      <c r="Q49" s="1141" t="str">
        <f>IFERROR(IF(OR(L9="ベア加算",AND(L9="ベア加算なし",AH57=1)),"ベア加算",IF(AH57=2,"ベア加算なし","")),"")</f>
        <v/>
      </c>
      <c r="R49" s="1139"/>
      <c r="S49" s="1139"/>
      <c r="T49" s="1139"/>
      <c r="U49" s="1140"/>
      <c r="V49" s="1142" t="s">
        <v>12</v>
      </c>
      <c r="W49" s="1143"/>
      <c r="X49" s="1143"/>
      <c r="Y49" s="1143"/>
      <c r="Z49" s="1143"/>
      <c r="AA49" s="1068"/>
      <c r="AB49" s="1068"/>
      <c r="AC49" s="1153" t="str">
        <f>IFERROR(VLOOKUP(BE48,【参考】数式用2!E6:F23,2,FALSE),"")</f>
        <v/>
      </c>
      <c r="AD49" s="1154"/>
      <c r="AE49" s="1154"/>
      <c r="AF49" s="1154"/>
      <c r="AG49" s="1154"/>
      <c r="AH49" s="1155"/>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1">
        <f>SUM(G50,L50,Q50)</f>
        <v>0</v>
      </c>
      <c r="W50" s="1112"/>
      <c r="X50" s="1112"/>
      <c r="Y50" s="1112"/>
      <c r="Z50" s="1112"/>
      <c r="AA50" s="1068"/>
      <c r="AB50" s="1068"/>
      <c r="AC50" s="1161" t="str">
        <f>IFERROR(VLOOKUP(Y5,【参考】数式用!$A$5:$AB$27,MATCH(AC49,【参考】数式用!$B$4:$AB$4,0)+1,FALSE),"")</f>
        <v/>
      </c>
      <c r="AD50" s="1162"/>
      <c r="AE50" s="1162"/>
      <c r="AF50" s="1162"/>
      <c r="AG50" s="1162"/>
      <c r="AH50" s="1163"/>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130" t="str">
        <f>IFERROR(ROUNDDOWN(ROUND(AM5*G50,0)*P5,0)*H53,"")</f>
        <v/>
      </c>
      <c r="H51" s="1130"/>
      <c r="I51" s="1130"/>
      <c r="J51" s="1130"/>
      <c r="K51" s="148" t="s">
        <v>2289</v>
      </c>
      <c r="L51" s="1129" t="str">
        <f>IFERROR(ROUNDDOWN(ROUND(AM5*L50,0)*P5,0)*H53,"")</f>
        <v/>
      </c>
      <c r="M51" s="1130"/>
      <c r="N51" s="1130"/>
      <c r="O51" s="1130"/>
      <c r="P51" s="148" t="s">
        <v>2289</v>
      </c>
      <c r="Q51" s="1129" t="str">
        <f>IFERROR(ROUNDDOWN(ROUND(AM5*Q50,0)*P5,0)*H53,"")</f>
        <v/>
      </c>
      <c r="R51" s="1130"/>
      <c r="S51" s="1130"/>
      <c r="T51" s="1130"/>
      <c r="U51" s="149" t="s">
        <v>2289</v>
      </c>
      <c r="V51" s="1136">
        <f>IFERROR(SUM(G51,L51,Q51),"")</f>
        <v>0</v>
      </c>
      <c r="W51" s="1137"/>
      <c r="X51" s="1137"/>
      <c r="Y51" s="1137"/>
      <c r="Z51" s="150" t="s">
        <v>2289</v>
      </c>
      <c r="AB51" s="151"/>
      <c r="AC51" s="1129" t="str">
        <f>IFERROR(ROUNDDOWN(ROUND(AM5*AC50,0)*P5,0)*AD53,"")</f>
        <v/>
      </c>
      <c r="AD51" s="1130"/>
      <c r="AE51" s="1130"/>
      <c r="AF51" s="1130"/>
      <c r="AG51" s="1130"/>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71" t="str">
        <f>IFERROR("("&amp;TEXT(G51/H53,"#,##0円")&amp;"/月)","")</f>
        <v/>
      </c>
      <c r="H52" s="1072"/>
      <c r="I52" s="1072"/>
      <c r="J52" s="1072"/>
      <c r="K52" s="1072"/>
      <c r="L52" s="1072" t="str">
        <f>IFERROR("("&amp;TEXT(L51/H53,"#,##0円")&amp;"/月)","")</f>
        <v/>
      </c>
      <c r="M52" s="1072"/>
      <c r="N52" s="1072"/>
      <c r="O52" s="1072"/>
      <c r="P52" s="1072"/>
      <c r="Q52" s="1072" t="str">
        <f>IFERROR("("&amp;TEXT(Q51/H53,"#,##0円")&amp;"/月)","")</f>
        <v/>
      </c>
      <c r="R52" s="1072"/>
      <c r="S52" s="1072"/>
      <c r="T52" s="1072"/>
      <c r="U52" s="1072"/>
      <c r="V52" s="1072" t="str">
        <f>IFERROR("("&amp;TEXT(V51/H53,"#,##0円")&amp;"/月)","")</f>
        <v>(0円/月)</v>
      </c>
      <c r="W52" s="1072"/>
      <c r="X52" s="1072"/>
      <c r="Y52" s="1072"/>
      <c r="Z52" s="1072"/>
      <c r="AB52" s="151"/>
      <c r="AC52" s="1131" t="str">
        <f>IFERROR("("&amp;TEXT(AC51/AD53,"#,##0円")&amp;"/月)","")</f>
        <v/>
      </c>
      <c r="AD52" s="1132"/>
      <c r="AE52" s="1132"/>
      <c r="AF52" s="1132"/>
      <c r="AG52" s="1132"/>
      <c r="AH52" s="1071"/>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6" t="s">
        <v>2420</v>
      </c>
      <c r="AT56" s="1016"/>
      <c r="AU56" s="1016"/>
      <c r="AV56" s="1016"/>
      <c r="AW56" s="1016" t="s">
        <v>2419</v>
      </c>
      <c r="AX56" s="1016"/>
      <c r="AY56" s="1016"/>
      <c r="AZ56" s="1016"/>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7"/>
      <c r="AX57" s="1017"/>
      <c r="AY57" s="1017"/>
      <c r="AZ57" s="1017"/>
      <c r="BD57" s="251"/>
      <c r="BF57" s="251"/>
      <c r="BG57" s="251"/>
      <c r="BH57" s="251"/>
      <c r="BI57" s="251"/>
      <c r="BJ57" s="251"/>
      <c r="BK57" s="251"/>
      <c r="BL57" s="251"/>
      <c r="BM57" s="251"/>
      <c r="BN57" s="251"/>
      <c r="BO57" s="251"/>
      <c r="BP57" s="251"/>
      <c r="BQ57" s="251"/>
      <c r="BR57" s="251"/>
      <c r="BS57" s="251"/>
      <c r="BT57" s="251"/>
      <c r="BV57" s="254"/>
    </row>
    <row r="58" spans="2:82" ht="15.95" customHeight="1">
      <c r="U58" s="1033" t="s">
        <v>2204</v>
      </c>
      <c r="V58" s="1033"/>
      <c r="W58" s="1033"/>
      <c r="X58" s="1033"/>
      <c r="Y58" s="1033"/>
      <c r="Z58" s="527" t="str">
        <f>IF(AND(B9&lt;&gt;"処遇加算なし",F15=4),IF(V24="✓",1,IF(V25="✓",2,IF(V26="✓",3,""))),"")</f>
        <v/>
      </c>
      <c r="AA58" s="245"/>
      <c r="AB58" s="249"/>
      <c r="AC58" s="1033" t="s">
        <v>2204</v>
      </c>
      <c r="AD58" s="1033"/>
      <c r="AE58" s="1033"/>
      <c r="AF58" s="1033"/>
      <c r="AG58" s="1033"/>
      <c r="AH58" s="170">
        <f>IF(AND(F15&lt;&gt;4,F15&lt;&gt;5),0,IF(AU8="○",1,3))</f>
        <v>3</v>
      </c>
      <c r="AI58" s="253"/>
      <c r="AJ58" s="249"/>
      <c r="AK58" s="1033" t="s">
        <v>2204</v>
      </c>
      <c r="AL58" s="1033"/>
      <c r="AM58" s="1033"/>
      <c r="AN58" s="1033"/>
      <c r="AO58" s="1033"/>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33" t="s">
        <v>2205</v>
      </c>
      <c r="V59" s="1033"/>
      <c r="W59" s="1033"/>
      <c r="X59" s="1033"/>
      <c r="Y59" s="1033"/>
      <c r="Z59" s="527" t="str">
        <f>IF(AND(B9&lt;&gt;"処遇加算なし",F15=4),IF(V28="✓",1,IF(V29="✓",2,IF(V30="✓",3,""))),"")</f>
        <v/>
      </c>
      <c r="AA59" s="245"/>
      <c r="AB59" s="249"/>
      <c r="AC59" s="1033" t="s">
        <v>2205</v>
      </c>
      <c r="AD59" s="1033"/>
      <c r="AE59" s="1033"/>
      <c r="AF59" s="1033"/>
      <c r="AG59" s="1033"/>
      <c r="AH59" s="170">
        <f>IF(AND(F15&lt;&gt;4,F15&lt;&gt;5),0,IF(AV8="○",1,3))</f>
        <v>3</v>
      </c>
      <c r="AI59" s="253"/>
      <c r="AJ59" s="249"/>
      <c r="AK59" s="1033" t="s">
        <v>2205</v>
      </c>
      <c r="AL59" s="1033"/>
      <c r="AM59" s="1033"/>
      <c r="AN59" s="1033"/>
      <c r="AO59" s="1033"/>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33" t="s">
        <v>2206</v>
      </c>
      <c r="V60" s="1033"/>
      <c r="W60" s="1033"/>
      <c r="X60" s="1033"/>
      <c r="Y60" s="1033"/>
      <c r="Z60" s="527" t="str">
        <f>IF(AND(B9&lt;&gt;"処遇加算なし",F15=4),IF(V32="✓",1,IF(V33="✓",2,"")),"")</f>
        <v/>
      </c>
      <c r="AA60" s="245"/>
      <c r="AB60" s="249"/>
      <c r="AC60" s="1033" t="s">
        <v>2206</v>
      </c>
      <c r="AD60" s="1033"/>
      <c r="AE60" s="1033"/>
      <c r="AF60" s="1033"/>
      <c r="AG60" s="1033"/>
      <c r="AH60" s="170">
        <f>IF(AND(F15&lt;&gt;4,F15&lt;&gt;5),0,IF(AW8="○",1,3))</f>
        <v>3</v>
      </c>
      <c r="AI60" s="253"/>
      <c r="AJ60" s="249"/>
      <c r="AK60" s="1033" t="s">
        <v>2206</v>
      </c>
      <c r="AL60" s="1033"/>
      <c r="AM60" s="1033"/>
      <c r="AN60" s="1033"/>
      <c r="AO60" s="1033"/>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33" t="s">
        <v>2207</v>
      </c>
      <c r="V61" s="1033"/>
      <c r="W61" s="1033"/>
      <c r="X61" s="1033"/>
      <c r="Y61" s="1033"/>
      <c r="Z61" s="527" t="str">
        <f>IF(AND(B9&lt;&gt;"処遇加算なし",F15=4),IF(V36="✓",1,IF(V37="✓",2,"")),"")</f>
        <v/>
      </c>
      <c r="AA61" s="245"/>
      <c r="AB61" s="249"/>
      <c r="AC61" s="1033" t="s">
        <v>2207</v>
      </c>
      <c r="AD61" s="1033"/>
      <c r="AE61" s="1033"/>
      <c r="AF61" s="1033"/>
      <c r="AG61" s="1033"/>
      <c r="AH61" s="170">
        <f>IF(AND(F15&lt;&gt;4,F15&lt;&gt;5),0,IF(AX8="○",1,2))</f>
        <v>2</v>
      </c>
      <c r="AI61" s="253"/>
      <c r="AJ61" s="249"/>
      <c r="AK61" s="1033" t="s">
        <v>2207</v>
      </c>
      <c r="AL61" s="1033"/>
      <c r="AM61" s="1033"/>
      <c r="AN61" s="1033"/>
      <c r="AO61" s="1033"/>
      <c r="AP61" s="170">
        <f>IF(AX8="○",1,2)</f>
        <v>2</v>
      </c>
      <c r="AQ61" s="245"/>
      <c r="AR61" s="245"/>
      <c r="AS61" s="1005" t="str">
        <f>IF(OR(AND(Z61=1,AH61=2),AND(Z61=1,AP61=2)),"○","")</f>
        <v/>
      </c>
      <c r="AT61" s="1005"/>
      <c r="AU61" s="1005"/>
      <c r="AV61" s="1005"/>
      <c r="AW61" s="1018" t="str">
        <f>IF(OR((AD61-AL61)&lt;0,(AD61-AT61)&lt;0),"!","")</f>
        <v/>
      </c>
      <c r="AX61" s="1018"/>
      <c r="AY61" s="1018"/>
      <c r="AZ61" s="1018"/>
      <c r="BD61" s="251"/>
      <c r="BF61" s="251"/>
      <c r="BG61" s="251"/>
      <c r="BH61" s="251"/>
      <c r="BI61" s="251"/>
      <c r="BJ61" s="251"/>
      <c r="BK61" s="251"/>
      <c r="BL61" s="251"/>
      <c r="BM61" s="251"/>
      <c r="BN61" s="251"/>
      <c r="BO61" s="251"/>
      <c r="BP61" s="251"/>
      <c r="BQ61" s="251"/>
      <c r="BR61" s="251"/>
      <c r="BS61" s="251"/>
      <c r="BT61" s="251"/>
      <c r="BV61" s="254"/>
    </row>
    <row r="62" spans="2:82" ht="15.95" customHeight="1">
      <c r="U62" s="1033" t="s">
        <v>2208</v>
      </c>
      <c r="V62" s="1033"/>
      <c r="W62" s="1033"/>
      <c r="X62" s="1033"/>
      <c r="Y62" s="1033"/>
      <c r="Z62" s="527" t="str">
        <f>IF(AND(B9&lt;&gt;"処遇加算なし",F15=4),IF(V40="✓",1,IF(V41="✓",2,"")),"")</f>
        <v/>
      </c>
      <c r="AA62" s="245"/>
      <c r="AB62" s="249"/>
      <c r="AC62" s="1033" t="s">
        <v>2208</v>
      </c>
      <c r="AD62" s="1033"/>
      <c r="AE62" s="1033"/>
      <c r="AF62" s="1033"/>
      <c r="AG62" s="1033"/>
      <c r="AH62" s="170">
        <f>IF(AND(F15&lt;&gt;4,F15&lt;&gt;5),0,IF(AY8="○",1,2))</f>
        <v>2</v>
      </c>
      <c r="AI62" s="253"/>
      <c r="AJ62" s="249"/>
      <c r="AK62" s="1033" t="s">
        <v>2208</v>
      </c>
      <c r="AL62" s="1033"/>
      <c r="AM62" s="1033"/>
      <c r="AN62" s="1033"/>
      <c r="AO62" s="1033"/>
      <c r="AP62" s="170">
        <f>IF(AY8="○",1,2)</f>
        <v>2</v>
      </c>
      <c r="AQ62" s="245"/>
      <c r="AR62" s="245"/>
      <c r="AS62" s="1005" t="str">
        <f>IF(OR(AND(Z62=1,AH62=2),AND(Z62=1,AP62=2)),"○","")</f>
        <v/>
      </c>
      <c r="AT62" s="1005"/>
      <c r="AU62" s="1005"/>
      <c r="AV62" s="1005"/>
      <c r="AW62" s="1018" t="str">
        <f>IF(OR((AD62-AL62)&lt;0,(AD62-AT62)&lt;0),"!","")</f>
        <v/>
      </c>
      <c r="AX62" s="1018"/>
      <c r="AY62" s="1018"/>
      <c r="AZ62" s="1018"/>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8" t="str">
        <f>IF(OR((AD63-AL63)&lt;0,(AD63-AT63)&lt;0),"!","")</f>
        <v/>
      </c>
      <c r="AX63" s="1018"/>
      <c r="AY63" s="1018"/>
      <c r="AZ63" s="1018"/>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奈緒美</dc:creator>
  <cp:lastModifiedBy>浦田　奈緒美</cp:lastModifiedBy>
  <dcterms:created xsi:type="dcterms:W3CDTF">2024-03-18T05:08:55Z</dcterms:created>
  <dcterms:modified xsi:type="dcterms:W3CDTF">2024-03-18T05:08:57Z</dcterms:modified>
</cp:coreProperties>
</file>