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00\Desktop\"/>
    </mc:Choice>
  </mc:AlternateContent>
  <workbookProtection workbookAlgorithmName="SHA-512" workbookHashValue="QQ9WY2UMFdvzRsPvW0wMEd1PEiTNuOm2DnF6bT8ITtBxRHF+lEchOSU8QjnnoYgGd9feaiX2yV/UQaEMzpR61Q==" workbookSaltValue="iPoj/vzCRhCXxPXI5+Q00A==" workbookSpinCount="100000" lockStructure="1"/>
  <bookViews>
    <workbookView xWindow="-120" yWindow="-120" windowWidth="29040" windowHeight="15720"/>
  </bookViews>
  <sheets>
    <sheet name="保険料試算シート" sheetId="3" r:id="rId1"/>
    <sheet name="計算" sheetId="1" state="hidden" r:id="rId2"/>
    <sheet name="料率等" sheetId="2"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c r="N11" i="1" s="1"/>
  <c r="C12" i="1"/>
  <c r="M12" i="1" s="1"/>
  <c r="C13" i="1"/>
  <c r="M13" i="1" s="1"/>
  <c r="C14" i="1"/>
  <c r="N14" i="1" s="1"/>
  <c r="C9" i="1"/>
  <c r="M14" i="1" l="1"/>
  <c r="M11" i="1"/>
  <c r="M10" i="1"/>
  <c r="N13" i="1"/>
  <c r="N12" i="1"/>
  <c r="M9" i="1"/>
  <c r="F19" i="2"/>
  <c r="E19" i="2"/>
  <c r="D19" i="2"/>
  <c r="C19" i="2"/>
  <c r="B19" i="2"/>
  <c r="F18" i="2"/>
  <c r="E18" i="2"/>
  <c r="D18" i="2"/>
  <c r="C18" i="2"/>
  <c r="B18" i="2"/>
  <c r="M15" i="1" l="1"/>
  <c r="B2" i="1"/>
  <c r="B3" i="1"/>
  <c r="D10" i="1"/>
  <c r="N10" i="1" s="1"/>
  <c r="D11" i="1"/>
  <c r="D12" i="1"/>
  <c r="D13" i="1"/>
  <c r="D14" i="1"/>
  <c r="D9" i="1"/>
  <c r="N9" i="1" s="1"/>
  <c r="C13" i="2"/>
  <c r="B13" i="2"/>
  <c r="D12" i="2"/>
  <c r="C12" i="2"/>
  <c r="B12" i="2"/>
  <c r="C11" i="2"/>
  <c r="B11" i="2"/>
  <c r="C10" i="2"/>
  <c r="B10" i="2"/>
  <c r="B10" i="1"/>
  <c r="H10" i="1" s="1"/>
  <c r="B11" i="1"/>
  <c r="B12" i="1"/>
  <c r="B13" i="1"/>
  <c r="B14" i="1"/>
  <c r="B9" i="1"/>
  <c r="N15" i="1" l="1"/>
  <c r="D27" i="3" s="1"/>
  <c r="L9" i="1"/>
  <c r="K9" i="1"/>
  <c r="H14" i="1"/>
  <c r="I14" i="1"/>
  <c r="L14" i="1"/>
  <c r="F14" i="1"/>
  <c r="K13" i="1"/>
  <c r="L13" i="1"/>
  <c r="F13" i="1"/>
  <c r="I13" i="1"/>
  <c r="E2" i="1"/>
  <c r="D2" i="1"/>
  <c r="F2" i="1"/>
  <c r="B5" i="1"/>
  <c r="K12" i="1"/>
  <c r="L12" i="1"/>
  <c r="F12" i="1"/>
  <c r="I12" i="1"/>
  <c r="H11" i="1"/>
  <c r="L11" i="1"/>
  <c r="I11" i="1"/>
  <c r="F11" i="1"/>
  <c r="H9" i="1"/>
  <c r="I9" i="1"/>
  <c r="F9" i="1"/>
  <c r="L10" i="1"/>
  <c r="D15" i="1"/>
  <c r="I10" i="1"/>
  <c r="F10" i="1"/>
  <c r="E9" i="1"/>
  <c r="K11" i="1"/>
  <c r="E11" i="1"/>
  <c r="H13" i="1"/>
  <c r="E14" i="1"/>
  <c r="E10" i="1"/>
  <c r="H12" i="1"/>
  <c r="K14" i="1"/>
  <c r="K10" i="1"/>
  <c r="E13" i="1"/>
  <c r="E12" i="1"/>
  <c r="B4" i="1" l="1"/>
  <c r="H15" i="1"/>
  <c r="J9" i="1" s="1"/>
  <c r="J15" i="1" s="1"/>
  <c r="I15" i="1"/>
  <c r="D25" i="3" s="1"/>
  <c r="F15" i="1"/>
  <c r="D24" i="3" s="1"/>
  <c r="L15" i="1"/>
  <c r="D26" i="3" s="1"/>
  <c r="K15" i="1"/>
  <c r="E15" i="1"/>
  <c r="D28" i="3" l="1"/>
  <c r="E16" i="1"/>
  <c r="H16" i="1"/>
  <c r="C25" i="3" s="1"/>
  <c r="K16" i="1"/>
  <c r="C26" i="3" s="1"/>
  <c r="F26" i="3" s="1"/>
  <c r="C24" i="3"/>
  <c r="A30" i="3"/>
  <c r="M16" i="1"/>
  <c r="C27" i="3" s="1"/>
  <c r="E27" i="3" s="1"/>
  <c r="D30" i="3"/>
  <c r="J16" i="1"/>
  <c r="B25" i="3" s="1"/>
  <c r="G9" i="1"/>
  <c r="G15" i="1" s="1"/>
  <c r="K17" i="1"/>
  <c r="H17" i="1"/>
  <c r="C28" i="3" l="1"/>
  <c r="F25" i="3"/>
  <c r="E25" i="3"/>
  <c r="E26" i="3"/>
  <c r="E17" i="1"/>
  <c r="G16" i="1"/>
  <c r="B24" i="3" s="1"/>
  <c r="E24" i="3" l="1"/>
  <c r="F24" i="3"/>
  <c r="B28" i="3"/>
  <c r="E28" i="3" l="1"/>
  <c r="E32" i="3" s="1"/>
  <c r="E33" i="3" s="1"/>
  <c r="F28" i="3"/>
  <c r="D22" i="3" s="1"/>
</calcChain>
</file>

<file path=xl/sharedStrings.xml><?xml version="1.0" encoding="utf-8"?>
<sst xmlns="http://schemas.openxmlformats.org/spreadsheetml/2006/main" count="118" uniqueCount="71">
  <si>
    <t>世帯主</t>
    <rPh sb="0" eb="3">
      <t>セタイヌシ</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</si>
  <si>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</si>
  <si>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</si>
  <si>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</si>
  <si>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</si>
  <si>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</si>
  <si>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年齢区分</t>
    <rPh sb="0" eb="4">
      <t>ネンレイクブン</t>
    </rPh>
    <phoneticPr fontId="2"/>
  </si>
  <si>
    <t>加入しない</t>
    <rPh sb="0" eb="2">
      <t>カニュウ</t>
    </rPh>
    <phoneticPr fontId="2"/>
  </si>
  <si>
    <t>未就学</t>
    <rPh sb="0" eb="3">
      <t>ミシュウガク</t>
    </rPh>
    <phoneticPr fontId="2"/>
  </si>
  <si>
    <t>小学生から39歳まで</t>
    <rPh sb="0" eb="3">
      <t>ショウガクセイ</t>
    </rPh>
    <rPh sb="7" eb="8">
      <t>サイ</t>
    </rPh>
    <phoneticPr fontId="2"/>
  </si>
  <si>
    <t>40歳から64歳まで</t>
    <rPh sb="2" eb="3">
      <t>サイ</t>
    </rPh>
    <rPh sb="7" eb="8">
      <t>サイ</t>
    </rPh>
    <phoneticPr fontId="2"/>
  </si>
  <si>
    <t>65歳から74歳まで</t>
    <rPh sb="2" eb="3">
      <t>サイ</t>
    </rPh>
    <rPh sb="7" eb="8">
      <t>サイ</t>
    </rPh>
    <phoneticPr fontId="2"/>
  </si>
  <si>
    <t>均等割</t>
    <rPh sb="0" eb="3">
      <t>キントウワリ</t>
    </rPh>
    <phoneticPr fontId="2"/>
  </si>
  <si>
    <t>医療分</t>
    <rPh sb="0" eb="3">
      <t>イリョウブン</t>
    </rPh>
    <phoneticPr fontId="2"/>
  </si>
  <si>
    <t>後期分</t>
    <rPh sb="0" eb="3">
      <t>コウキブン</t>
    </rPh>
    <phoneticPr fontId="2"/>
  </si>
  <si>
    <t>介護分</t>
    <rPh sb="0" eb="3">
      <t>カイゴブン</t>
    </rPh>
    <phoneticPr fontId="2"/>
  </si>
  <si>
    <t>均等割額</t>
    <rPh sb="0" eb="4">
      <t>キントウワリガク</t>
    </rPh>
    <phoneticPr fontId="2"/>
  </si>
  <si>
    <t>所得割額</t>
    <rPh sb="0" eb="4">
      <t>ショトクワリガク</t>
    </rPh>
    <phoneticPr fontId="2"/>
  </si>
  <si>
    <t>後期分</t>
    <rPh sb="0" eb="2">
      <t>コウキ</t>
    </rPh>
    <rPh sb="2" eb="3">
      <t>ブン</t>
    </rPh>
    <phoneticPr fontId="2"/>
  </si>
  <si>
    <t>介護分</t>
    <rPh sb="0" eb="2">
      <t>カイゴ</t>
    </rPh>
    <rPh sb="2" eb="3">
      <t>ブン</t>
    </rPh>
    <phoneticPr fontId="2"/>
  </si>
  <si>
    <t>標準料率</t>
    <rPh sb="0" eb="4">
      <t>ヒョウジュンリョウリツ</t>
    </rPh>
    <phoneticPr fontId="2"/>
  </si>
  <si>
    <t>平等割</t>
    <rPh sb="0" eb="3">
      <t>ビョウドウワリ</t>
    </rPh>
    <phoneticPr fontId="2"/>
  </si>
  <si>
    <t>所得割</t>
    <rPh sb="0" eb="3">
      <t>ショトクワリ</t>
    </rPh>
    <phoneticPr fontId="2"/>
  </si>
  <si>
    <t>合計</t>
    <rPh sb="0" eb="2">
      <t>ゴウケイ</t>
    </rPh>
    <phoneticPr fontId="2"/>
  </si>
  <si>
    <t>平等割額</t>
    <rPh sb="0" eb="4">
      <t>ビョウドウワリガク</t>
    </rPh>
    <phoneticPr fontId="2"/>
  </si>
  <si>
    <t>小計</t>
    <rPh sb="0" eb="2">
      <t>ショウケイ</t>
    </rPh>
    <phoneticPr fontId="2"/>
  </si>
  <si>
    <t>総所得金額等</t>
    <rPh sb="0" eb="5">
      <t>ソウショトクキンガク</t>
    </rPh>
    <rPh sb="5" eb="6">
      <t>トウ</t>
    </rPh>
    <phoneticPr fontId="2"/>
  </si>
  <si>
    <t>軽減判定</t>
    <rPh sb="0" eb="4">
      <t>ケイゲンハンテイ</t>
    </rPh>
    <phoneticPr fontId="2"/>
  </si>
  <si>
    <t>軽減率</t>
    <rPh sb="0" eb="2">
      <t>ケイゲン</t>
    </rPh>
    <rPh sb="2" eb="3">
      <t>リツ</t>
    </rPh>
    <phoneticPr fontId="2"/>
  </si>
  <si>
    <t>軽減後</t>
    <rPh sb="0" eb="3">
      <t>ケイゲンゴ</t>
    </rPh>
    <phoneticPr fontId="2"/>
  </si>
  <si>
    <t>総所得金額合算</t>
    <rPh sb="0" eb="3">
      <t>ソウショトク</t>
    </rPh>
    <rPh sb="3" eb="5">
      <t>キンガク</t>
    </rPh>
    <rPh sb="5" eb="7">
      <t>ガッサン</t>
    </rPh>
    <phoneticPr fontId="2"/>
  </si>
  <si>
    <t>給与所得者人数</t>
    <rPh sb="0" eb="5">
      <t>キュウヨショトクシャ</t>
    </rPh>
    <rPh sb="5" eb="7">
      <t>ニンズウ</t>
    </rPh>
    <phoneticPr fontId="2"/>
  </si>
  <si>
    <t>国保加入者数</t>
    <rPh sb="0" eb="6">
      <t>コクホカニュウシャスウ</t>
    </rPh>
    <phoneticPr fontId="2"/>
  </si>
  <si>
    <t>7割軽減所得</t>
    <rPh sb="1" eb="4">
      <t>ワリケイゲン</t>
    </rPh>
    <rPh sb="4" eb="6">
      <t>ショトク</t>
    </rPh>
    <phoneticPr fontId="2"/>
  </si>
  <si>
    <t>5割軽減所得</t>
    <rPh sb="1" eb="6">
      <t>ワリケイゲンショトク</t>
    </rPh>
    <phoneticPr fontId="2"/>
  </si>
  <si>
    <t>2割軽減所得</t>
    <rPh sb="1" eb="6">
      <t>ワリケイゲンショトク</t>
    </rPh>
    <phoneticPr fontId="2"/>
  </si>
  <si>
    <t>7割</t>
    <rPh sb="1" eb="2">
      <t>ワリ</t>
    </rPh>
    <phoneticPr fontId="2"/>
  </si>
  <si>
    <t>5割</t>
    <rPh sb="1" eb="2">
      <t>ワリ</t>
    </rPh>
    <phoneticPr fontId="2"/>
  </si>
  <si>
    <t>2割</t>
    <rPh sb="1" eb="2">
      <t>ワリ</t>
    </rPh>
    <phoneticPr fontId="2"/>
  </si>
  <si>
    <t>合計額</t>
    <rPh sb="0" eb="3">
      <t>ゴウケイガク</t>
    </rPh>
    <phoneticPr fontId="2"/>
  </si>
  <si>
    <t>平等割額</t>
    <rPh sb="0" eb="3">
      <t>ビョウドウワリ</t>
    </rPh>
    <rPh sb="3" eb="4">
      <t>ガク</t>
    </rPh>
    <phoneticPr fontId="2"/>
  </si>
  <si>
    <t>均等割額</t>
    <rPh sb="0" eb="3">
      <t>キントウワリ</t>
    </rPh>
    <rPh sb="3" eb="4">
      <t>ガク</t>
    </rPh>
    <phoneticPr fontId="2"/>
  </si>
  <si>
    <t>所得割額</t>
    <rPh sb="0" eb="3">
      <t>ショトクワリ</t>
    </rPh>
    <rPh sb="3" eb="4">
      <t>ガク</t>
    </rPh>
    <phoneticPr fontId="2"/>
  </si>
  <si>
    <t>1年間の国民健康保険料</t>
    <rPh sb="1" eb="3">
      <t>ネンカン</t>
    </rPh>
    <rPh sb="4" eb="11">
      <t>コクミンケンコウホケンリョウ</t>
    </rPh>
    <phoneticPr fontId="2"/>
  </si>
  <si>
    <t>1カ月当たりの保険料</t>
    <rPh sb="2" eb="4">
      <t>ゲツア</t>
    </rPh>
    <rPh sb="7" eb="10">
      <t>ホケンリョウ</t>
    </rPh>
    <phoneticPr fontId="2"/>
  </si>
  <si>
    <t>該当しない</t>
  </si>
  <si>
    <t>以下の内容をご確認いただいたうえでご利用ください。</t>
    <rPh sb="0" eb="2">
      <t>イカ</t>
    </rPh>
    <rPh sb="3" eb="5">
      <t>ナイヨウ</t>
    </rPh>
    <phoneticPr fontId="2"/>
  </si>
  <si>
    <t>【注意事項】</t>
    <rPh sb="1" eb="5">
      <t>チュウイジコウ</t>
    </rPh>
    <phoneticPr fontId="2"/>
  </si>
  <si>
    <t>※本シートでの計算はあくまでも試算であり、実際の保険料額と異なる場合があります。</t>
    <rPh sb="1" eb="2">
      <t>ホン</t>
    </rPh>
    <rPh sb="7" eb="9">
      <t>ケイサン</t>
    </rPh>
    <rPh sb="15" eb="17">
      <t>シサン</t>
    </rPh>
    <rPh sb="21" eb="23">
      <t>ジッサイ</t>
    </rPh>
    <rPh sb="24" eb="28">
      <t>ホケンリョウガク</t>
    </rPh>
    <rPh sb="29" eb="30">
      <t>コト</t>
    </rPh>
    <rPh sb="32" eb="34">
      <t>バアイ</t>
    </rPh>
    <phoneticPr fontId="2"/>
  </si>
  <si>
    <t>※次の場合の保険料計算には対応していません。</t>
    <rPh sb="1" eb="2">
      <t>ツギ</t>
    </rPh>
    <rPh sb="3" eb="5">
      <t>バアイ</t>
    </rPh>
    <rPh sb="6" eb="11">
      <t>ホケンリョウケイサン</t>
    </rPh>
    <rPh sb="13" eb="15">
      <t>タイオウ</t>
    </rPh>
    <phoneticPr fontId="2"/>
  </si>
  <si>
    <t>上記注意事項を理解したうえで試算します。</t>
    <rPh sb="0" eb="2">
      <t>ジョウキ</t>
    </rPh>
    <rPh sb="2" eb="6">
      <t>チュウイジコウ</t>
    </rPh>
    <rPh sb="7" eb="9">
      <t>リカイ</t>
    </rPh>
    <rPh sb="14" eb="16">
      <t>シサン</t>
    </rPh>
    <phoneticPr fontId="2"/>
  </si>
  <si>
    <t>↑ご理解いただけている場合は☑を選択してください。</t>
    <rPh sb="16" eb="18">
      <t>センタク</t>
    </rPh>
    <phoneticPr fontId="2"/>
  </si>
  <si>
    <t>以下の表に入力いただく事で、1年間の概ねの金額と1カ月当たりの金額を知ることができます。</t>
    <rPh sb="0" eb="2">
      <t>イカ</t>
    </rPh>
    <rPh sb="3" eb="4">
      <t>ヒョウ</t>
    </rPh>
    <rPh sb="5" eb="7">
      <t>ニュウリョク</t>
    </rPh>
    <rPh sb="11" eb="12">
      <t>コト</t>
    </rPh>
    <rPh sb="15" eb="17">
      <t>ネンカン</t>
    </rPh>
    <rPh sb="18" eb="19">
      <t>オオム</t>
    </rPh>
    <rPh sb="21" eb="23">
      <t>キンガク</t>
    </rPh>
    <rPh sb="26" eb="28">
      <t>ゲツア</t>
    </rPh>
    <rPh sb="31" eb="33">
      <t>キンガク</t>
    </rPh>
    <rPh sb="34" eb="35">
      <t>シ</t>
    </rPh>
    <phoneticPr fontId="2"/>
  </si>
  <si>
    <t>①年齢区分</t>
    <rPh sb="1" eb="5">
      <t>ネンレイクブン</t>
    </rPh>
    <phoneticPr fontId="2"/>
  </si>
  <si>
    <t>③給与所得者区分</t>
    <rPh sb="1" eb="3">
      <t>キュウヨ</t>
    </rPh>
    <rPh sb="3" eb="5">
      <t>ショトク</t>
    </rPh>
    <rPh sb="5" eb="8">
      <t>シャクブン</t>
    </rPh>
    <phoneticPr fontId="2"/>
  </si>
  <si>
    <t>後期高齢者分</t>
    <rPh sb="0" eb="5">
      <t>コウキコウレイシャ</t>
    </rPh>
    <rPh sb="5" eb="6">
      <t>ブン</t>
    </rPh>
    <phoneticPr fontId="2"/>
  </si>
  <si>
    <t>https://www.city.tondabayashi.lg.jp/site/kazei/43321.html</t>
    <phoneticPr fontId="2"/>
  </si>
  <si>
    <t>②総所得金額</t>
    <rPh sb="1" eb="4">
      <t>ソウショトク</t>
    </rPh>
    <rPh sb="4" eb="6">
      <t>キンガク</t>
    </rPh>
    <phoneticPr fontId="2"/>
  </si>
  <si>
    <t>軽減判定所得</t>
    <rPh sb="0" eb="4">
      <t>ケイゲンハンテイ</t>
    </rPh>
    <rPh sb="4" eb="6">
      <t>ショトク</t>
    </rPh>
    <phoneticPr fontId="2"/>
  </si>
  <si>
    <t>令和7年度</t>
    <rPh sb="0" eb="2">
      <t>レイワ</t>
    </rPh>
    <rPh sb="3" eb="5">
      <t>ネンド</t>
    </rPh>
    <phoneticPr fontId="2"/>
  </si>
  <si>
    <t>④18歳以上</t>
    <rPh sb="3" eb="4">
      <t>サイ</t>
    </rPh>
    <rPh sb="4" eb="6">
      <t>イジョウ</t>
    </rPh>
    <phoneticPr fontId="2"/>
  </si>
  <si>
    <t>こども分</t>
    <rPh sb="3" eb="4">
      <t>ブン</t>
    </rPh>
    <phoneticPr fontId="2"/>
  </si>
  <si>
    <t>18歳以上</t>
    <rPh sb="2" eb="3">
      <t>サイ</t>
    </rPh>
    <rPh sb="3" eb="5">
      <t>イジョウ</t>
    </rPh>
    <phoneticPr fontId="2"/>
  </si>
  <si>
    <t>こども分</t>
    <rPh sb="3" eb="4">
      <t>ブン</t>
    </rPh>
    <phoneticPr fontId="2"/>
  </si>
  <si>
    <t>【手順】
①.世帯主及び加入される方の年齢区分を選択してください。
②.世帯主及び加入される方の総所得金額（※）を入力してください。
③.世帯主及び加入される方の所得に「給与所得」若しくは「年金所得」が含まれる場合は「該当する」を選択してください。
④.世帯主及び加入される方が18歳以上の場合は「該当する」を選んでください。（18歳になって最初の3月31日までの方は「該当しない」を選んでください。）
※総所得金額については、市ウェブサイトをご参考にしてください。</t>
    <rPh sb="1" eb="3">
      <t>テジュン</t>
    </rPh>
    <rPh sb="7" eb="10">
      <t>セタイヌシ</t>
    </rPh>
    <rPh sb="10" eb="11">
      <t>オヨ</t>
    </rPh>
    <rPh sb="12" eb="14">
      <t>カニュウ</t>
    </rPh>
    <rPh sb="17" eb="18">
      <t>カタ</t>
    </rPh>
    <rPh sb="19" eb="23">
      <t>ネンレイクブン</t>
    </rPh>
    <rPh sb="24" eb="26">
      <t>センタク</t>
    </rPh>
    <rPh sb="36" eb="40">
      <t>セタイヌシオヨ</t>
    </rPh>
    <rPh sb="41" eb="43">
      <t>カニュウ</t>
    </rPh>
    <rPh sb="46" eb="47">
      <t>カタ</t>
    </rPh>
    <rPh sb="48" eb="53">
      <t>ソウショトクキンガク</t>
    </rPh>
    <rPh sb="57" eb="59">
      <t>ニュウリョク</t>
    </rPh>
    <rPh sb="69" eb="73">
      <t>セタイヌシオヨ</t>
    </rPh>
    <rPh sb="74" eb="76">
      <t>カニュウ</t>
    </rPh>
    <rPh sb="79" eb="80">
      <t>カタ</t>
    </rPh>
    <rPh sb="81" eb="83">
      <t>ショトク</t>
    </rPh>
    <rPh sb="85" eb="89">
      <t>キュウヨショトク</t>
    </rPh>
    <rPh sb="90" eb="91">
      <t>モ</t>
    </rPh>
    <rPh sb="95" eb="99">
      <t>ネンキンショトク</t>
    </rPh>
    <rPh sb="101" eb="102">
      <t>フク</t>
    </rPh>
    <rPh sb="105" eb="107">
      <t>バアイ</t>
    </rPh>
    <rPh sb="109" eb="111">
      <t>ガイトウ</t>
    </rPh>
    <rPh sb="115" eb="117">
      <t>センタク</t>
    </rPh>
    <rPh sb="127" eb="130">
      <t>セタイヌシ</t>
    </rPh>
    <rPh sb="130" eb="131">
      <t>オヨ</t>
    </rPh>
    <rPh sb="132" eb="134">
      <t>カニュウ</t>
    </rPh>
    <rPh sb="137" eb="138">
      <t>カタ</t>
    </rPh>
    <rPh sb="141" eb="144">
      <t>サイイジョウ</t>
    </rPh>
    <rPh sb="145" eb="147">
      <t>バアイ</t>
    </rPh>
    <rPh sb="149" eb="151">
      <t>ガイトウ</t>
    </rPh>
    <rPh sb="155" eb="156">
      <t>エラ</t>
    </rPh>
    <rPh sb="166" eb="167">
      <t>サイ</t>
    </rPh>
    <rPh sb="171" eb="173">
      <t>サイショ</t>
    </rPh>
    <rPh sb="175" eb="176">
      <t>ガツ</t>
    </rPh>
    <rPh sb="178" eb="179">
      <t>ニチ</t>
    </rPh>
    <rPh sb="182" eb="183">
      <t>カタ</t>
    </rPh>
    <rPh sb="185" eb="187">
      <t>ガイトウ</t>
    </rPh>
    <rPh sb="192" eb="193">
      <t>エラ</t>
    </rPh>
    <rPh sb="203" eb="208">
      <t>ソウショトクキンガク</t>
    </rPh>
    <rPh sb="214" eb="215">
      <t>シ</t>
    </rPh>
    <phoneticPr fontId="2"/>
  </si>
  <si>
    <t>令和８年度　国民健康保険料試算シート</t>
    <phoneticPr fontId="2"/>
  </si>
  <si>
    <t>上記内容をご理解いただいたうえで試算いただきますようお願いします。
より精緻な試算をご希望の方は、窓口若しくは郵送により申請してください。</t>
    <rPh sb="0" eb="4">
      <t>ジョウキナイヨウ</t>
    </rPh>
    <rPh sb="6" eb="8">
      <t>リカイ</t>
    </rPh>
    <rPh sb="16" eb="18">
      <t>シサン</t>
    </rPh>
    <rPh sb="27" eb="28">
      <t>ネガ</t>
    </rPh>
    <rPh sb="36" eb="38">
      <t>セイチ</t>
    </rPh>
    <rPh sb="39" eb="41">
      <t>シサン</t>
    </rPh>
    <rPh sb="43" eb="45">
      <t>キボウ</t>
    </rPh>
    <rPh sb="46" eb="47">
      <t>カタ</t>
    </rPh>
    <rPh sb="49" eb="51">
      <t>マドグチ</t>
    </rPh>
    <rPh sb="51" eb="52">
      <t>モ</t>
    </rPh>
    <rPh sb="55" eb="57">
      <t>ユウソウ</t>
    </rPh>
    <rPh sb="60" eb="62">
      <t>シンセイ</t>
    </rPh>
    <phoneticPr fontId="2"/>
  </si>
  <si>
    <t>年度途中に加入者の人数や所得が変わる場合
年度途中に加入者が40歳・65歳・75歳に到達する場合
世帯内に特定同一世帯所属者がいる場合
世帯主や加入者に年金収入があり、その方が令和8年1月2日以降に65歳を迎えた場合
所得金額調整控除がある場合や、給与所得の特定支出控除がある場合等
専従者給与がある場合、又は専従者控除を経費算入している場合
分離課税所得（土地・株式等の譲渡所得など）がある場合
倒産や解雇、雇止めなどにより離職された方に関する軽減措置に該当する場合
産前産後期間に係る軽減措置に該当する場合</t>
    <rPh sb="0" eb="4">
      <t>ネンドトチュウ</t>
    </rPh>
    <rPh sb="5" eb="8">
      <t>カニュウシャ</t>
    </rPh>
    <rPh sb="9" eb="11">
      <t>ニンズウ</t>
    </rPh>
    <rPh sb="12" eb="14">
      <t>ショトク</t>
    </rPh>
    <rPh sb="15" eb="16">
      <t>カ</t>
    </rPh>
    <rPh sb="18" eb="20">
      <t>バアイ</t>
    </rPh>
    <rPh sb="21" eb="25">
      <t>ネンドトチュウ</t>
    </rPh>
    <rPh sb="26" eb="29">
      <t>カニュウシャ</t>
    </rPh>
    <rPh sb="32" eb="33">
      <t>サイ</t>
    </rPh>
    <rPh sb="36" eb="37">
      <t>サイ</t>
    </rPh>
    <rPh sb="40" eb="41">
      <t>サイ</t>
    </rPh>
    <rPh sb="42" eb="44">
      <t>トウタツ</t>
    </rPh>
    <rPh sb="46" eb="48">
      <t>バアイ</t>
    </rPh>
    <rPh sb="49" eb="52">
      <t>セタイナイ</t>
    </rPh>
    <rPh sb="53" eb="62">
      <t>トクテイドウイツセタイショゾクシャ</t>
    </rPh>
    <rPh sb="65" eb="67">
      <t>バアイ</t>
    </rPh>
    <rPh sb="68" eb="71">
      <t>セタイヌシ</t>
    </rPh>
    <rPh sb="72" eb="75">
      <t>カニュウシャ</t>
    </rPh>
    <rPh sb="76" eb="80">
      <t>ネンキンシュウニュウ</t>
    </rPh>
    <rPh sb="86" eb="87">
      <t>カタ</t>
    </rPh>
    <rPh sb="88" eb="90">
      <t>レイワ</t>
    </rPh>
    <rPh sb="91" eb="92">
      <t>ネン</t>
    </rPh>
    <rPh sb="93" eb="94">
      <t>ガツ</t>
    </rPh>
    <rPh sb="95" eb="98">
      <t>ニチイコウ</t>
    </rPh>
    <rPh sb="101" eb="102">
      <t>サイ</t>
    </rPh>
    <rPh sb="103" eb="104">
      <t>ムカ</t>
    </rPh>
    <rPh sb="106" eb="108">
      <t>バアイ</t>
    </rPh>
    <rPh sb="109" eb="117">
      <t>ショトクキンガクチョウセイコウジョ</t>
    </rPh>
    <rPh sb="120" eb="122">
      <t>バアイ</t>
    </rPh>
    <rPh sb="124" eb="126">
      <t>キュウヨ</t>
    </rPh>
    <rPh sb="126" eb="128">
      <t>ショトク</t>
    </rPh>
    <rPh sb="129" eb="133">
      <t>トクテイシシュツ</t>
    </rPh>
    <rPh sb="133" eb="135">
      <t>コウジョ</t>
    </rPh>
    <rPh sb="138" eb="141">
      <t>バアイトウ</t>
    </rPh>
    <rPh sb="142" eb="147">
      <t>センジュウシャキュウヨ</t>
    </rPh>
    <rPh sb="150" eb="152">
      <t>バアイ</t>
    </rPh>
    <rPh sb="153" eb="154">
      <t>マタ</t>
    </rPh>
    <rPh sb="155" eb="160">
      <t>センジュウシャコウジョ</t>
    </rPh>
    <rPh sb="161" eb="165">
      <t>ケイヒサンニュウ</t>
    </rPh>
    <rPh sb="169" eb="171">
      <t>バアイ</t>
    </rPh>
    <rPh sb="172" eb="178">
      <t>ブンリカゼイショトク</t>
    </rPh>
    <rPh sb="179" eb="181">
      <t>トチ</t>
    </rPh>
    <rPh sb="182" eb="185">
      <t>カブシキトウ</t>
    </rPh>
    <rPh sb="186" eb="190">
      <t>ジョウトショトク</t>
    </rPh>
    <rPh sb="196" eb="198">
      <t>バアイ</t>
    </rPh>
    <rPh sb="199" eb="201">
      <t>トウサン</t>
    </rPh>
    <rPh sb="202" eb="204">
      <t>カイコ</t>
    </rPh>
    <rPh sb="205" eb="207">
      <t>ヤトイド</t>
    </rPh>
    <rPh sb="213" eb="215">
      <t>リショク</t>
    </rPh>
    <rPh sb="218" eb="219">
      <t>カタ</t>
    </rPh>
    <rPh sb="220" eb="221">
      <t>カン</t>
    </rPh>
    <rPh sb="223" eb="227">
      <t>ケイゲンソチ</t>
    </rPh>
    <rPh sb="228" eb="230">
      <t>ガイトウ</t>
    </rPh>
    <rPh sb="232" eb="234">
      <t>バアイ</t>
    </rPh>
    <rPh sb="235" eb="241">
      <t>サンゼンサンゴキカン</t>
    </rPh>
    <rPh sb="242" eb="243">
      <t>カカ</t>
    </rPh>
    <rPh sb="244" eb="248">
      <t>ケイゲンソチ</t>
    </rPh>
    <rPh sb="249" eb="251">
      <t>ガイトウ</t>
    </rPh>
    <rPh sb="253" eb="255">
      <t>バアイ</t>
    </rPh>
    <phoneticPr fontId="2"/>
  </si>
  <si>
    <t>-</t>
    <phoneticPr fontId="2"/>
  </si>
  <si>
    <t>-</t>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</si>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</sst>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quot;約&quot;###,##0&quot;円&quot;"/>
    <numFmt numFmtId="178" formatCode="###,##0&quot;円&quot;"/>
    <numFmt numFmtId="179" formatCode="0&quot;割&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rgb="FFFF0000"/>
      <name val="BIZ UDPゴシック"/>
      <family val="3"/>
      <charset val="128"/>
    </font>
    <font>
      <u/>
      <sz val="11"/>
      <color theme="10"/>
      <name val="游ゴシック"/>
      <family val="2"/>
      <charset val="128"/>
      <scheme val="minor"/>
    </font>
    <font>
      <b/>
      <sz val="14"/>
      <name val="BIZ UDPゴシック"/>
      <family val="3"/>
      <charset val="128"/>
    </font>
    <font>
      <b/>
      <sz val="11"/>
      <color theme="1"/>
      <name val="BIZ UDPゴシック"/>
      <family val="3"/>
      <charset val="128"/>
    </font>
    <font>
      <b/>
      <u/>
      <sz val="11"/>
      <color theme="1"/>
      <name val="BIZ UDPゴシック"/>
      <family val="3"/>
      <charset val="128"/>
    </font>
    <font>
      <b/>
      <sz val="11"/>
      <color rgb="FFFF0000"/>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51">
    <xf numFmtId="0" fontId="0" fillId="0" borderId="0" xfId="0">
      <alignment vertical="center"/>
    </xf>
    <xf numFmtId="38" fontId="0" fillId="0" borderId="0" xfId="1" applyFont="1">
      <alignment vertical="center"/>
    </xf>
    <xf numFmtId="0" fontId="0" fillId="0" borderId="0" xfId="0" applyAlignment="1">
      <alignment horizontal="center" vertical="center"/>
    </xf>
    <xf numFmtId="0" fontId="0" fillId="0" borderId="1" xfId="0" applyBorder="1">
      <alignment vertical="center"/>
    </xf>
    <xf numFmtId="38" fontId="0" fillId="0" borderId="1" xfId="1" applyFont="1" applyBorder="1">
      <alignment vertical="center"/>
    </xf>
    <xf numFmtId="10" fontId="0" fillId="0" borderId="1" xfId="2" applyNumberFormat="1" applyFont="1" applyBorder="1">
      <alignment vertical="center"/>
    </xf>
    <xf numFmtId="176" fontId="0" fillId="0" borderId="0" xfId="1" applyNumberFormat="1"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indent="1"/>
    </xf>
    <xf numFmtId="178" fontId="3" fillId="0" borderId="1" xfId="0" applyNumberFormat="1" applyFont="1" applyBorder="1">
      <alignment vertical="center"/>
    </xf>
    <xf numFmtId="0" fontId="3" fillId="0" borderId="1" xfId="0" applyFont="1" applyBorder="1" applyAlignment="1">
      <alignment vertical="center"/>
    </xf>
    <xf numFmtId="0" fontId="3" fillId="0" borderId="1" xfId="0" applyFont="1" applyBorder="1" applyAlignment="1">
      <alignment horizontal="distributed" vertical="center" indent="1"/>
    </xf>
    <xf numFmtId="0" fontId="3" fillId="0" borderId="2" xfId="0" applyFont="1" applyBorder="1" applyAlignment="1">
      <alignment vertical="center"/>
    </xf>
    <xf numFmtId="178" fontId="3" fillId="0" borderId="2" xfId="0" applyNumberFormat="1" applyFont="1" applyBorder="1">
      <alignment vertical="center"/>
    </xf>
    <xf numFmtId="178" fontId="3" fillId="0" borderId="0" xfId="0" applyNumberFormat="1" applyFont="1" applyBorder="1">
      <alignment vertical="center"/>
    </xf>
    <xf numFmtId="178" fontId="3" fillId="0" borderId="5" xfId="0" applyNumberFormat="1" applyFont="1" applyBorder="1">
      <alignment vertical="center"/>
    </xf>
    <xf numFmtId="177" fontId="3" fillId="0" borderId="8" xfId="0" applyNumberFormat="1" applyFont="1" applyBorder="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distributed"/>
    </xf>
    <xf numFmtId="0" fontId="3" fillId="0" borderId="1" xfId="0" applyFont="1" applyBorder="1" applyAlignment="1">
      <alignment horizontal="distributed" vertical="distributed" indent="1"/>
    </xf>
    <xf numFmtId="179" fontId="4" fillId="0" borderId="0" xfId="0" applyNumberFormat="1" applyFont="1" applyBorder="1" applyAlignment="1">
      <alignment horizontal="center" vertical="center"/>
    </xf>
    <xf numFmtId="0" fontId="8" fillId="0" borderId="0" xfId="0" applyFont="1">
      <alignment vertical="center"/>
    </xf>
    <xf numFmtId="0" fontId="9" fillId="0" borderId="0" xfId="0" applyFont="1" applyAlignment="1">
      <alignment vertical="center" shrinkToFit="1"/>
    </xf>
    <xf numFmtId="0" fontId="4" fillId="0" borderId="0" xfId="0" applyFont="1">
      <alignment vertical="center"/>
    </xf>
    <xf numFmtId="178" fontId="3" fillId="0" borderId="1" xfId="0" applyNumberFormat="1" applyFont="1" applyBorder="1" applyAlignment="1">
      <alignment horizontal="center" vertical="center"/>
    </xf>
    <xf numFmtId="38" fontId="0" fillId="0" borderId="9" xfId="1" applyFont="1" applyBorder="1">
      <alignment vertical="center"/>
    </xf>
    <xf numFmtId="38" fontId="0" fillId="0" borderId="11" xfId="1" applyFont="1" applyBorder="1">
      <alignment vertical="center"/>
    </xf>
    <xf numFmtId="38" fontId="0" fillId="0" borderId="10" xfId="1" applyFont="1" applyBorder="1" applyAlignment="1">
      <alignment horizontal="right" vertical="center"/>
    </xf>
    <xf numFmtId="0" fontId="3" fillId="2" borderId="1" xfId="0" applyFont="1" applyFill="1" applyBorder="1" applyAlignment="1" applyProtection="1">
      <alignment horizontal="center" vertical="center"/>
      <protection locked="0"/>
    </xf>
    <xf numFmtId="178" fontId="3" fillId="2" borderId="1" xfId="0" applyNumberFormat="1" applyFont="1" applyFill="1" applyBorder="1" applyProtection="1">
      <alignment vertical="center"/>
      <protection locked="0"/>
    </xf>
    <xf numFmtId="0" fontId="7" fillId="0" borderId="0" xfId="0" applyFont="1" applyAlignment="1" applyProtection="1">
      <alignment horizontal="right" vertical="center"/>
      <protection locked="0"/>
    </xf>
    <xf numFmtId="0" fontId="5" fillId="0" borderId="0" xfId="3" applyFill="1" applyAlignment="1">
      <alignment horizontal="left" vertical="center" indent="2"/>
    </xf>
    <xf numFmtId="0" fontId="6" fillId="0" borderId="0" xfId="3" applyFont="1" applyFill="1" applyAlignment="1">
      <alignment horizontal="left" vertical="center"/>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4" fillId="0" borderId="0" xfId="0" applyFont="1" applyBorder="1" applyAlignment="1">
      <alignment horizontal="right" vertical="center"/>
    </xf>
    <xf numFmtId="0" fontId="3" fillId="0" borderId="0" xfId="0" applyFont="1" applyAlignment="1">
      <alignment horizontal="left" vertical="top" wrapText="1" indent="4"/>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3" fillId="0" borderId="0" xfId="0" applyFont="1" applyAlignment="1">
      <alignment horizontal="left" vertical="top" indent="8"/>
    </xf>
    <xf numFmtId="0" fontId="3" fillId="0" borderId="0" xfId="0" applyFont="1" applyFill="1" applyAlignment="1">
      <alignment horizontal="center" vertical="center"/>
    </xf>
    <xf numFmtId="0" fontId="3" fillId="0" borderId="0" xfId="0" applyFont="1" applyFill="1" applyAlignment="1">
      <alignment horizontal="left" vertical="top" wrapText="1"/>
    </xf>
    <xf numFmtId="0" fontId="3" fillId="0" borderId="0" xfId="0" applyFont="1" applyFill="1" applyAlignment="1">
      <alignment horizontal="left" vertical="top"/>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0" fillId="0" borderId="1" xfId="0" applyBorder="1" applyAlignment="1">
      <alignment horizontal="center" vertical="center"/>
    </xf>
    <xf numFmtId="38" fontId="0" fillId="0" borderId="1" xfId="0" applyNumberFormat="1" applyBorder="1" applyAlignment="1">
      <alignment horizontal="center" vertical="center"/>
    </xf>
    <xf numFmtId="38" fontId="0" fillId="0" borderId="1" xfId="1" applyFont="1" applyBorder="1" applyAlignment="1">
      <alignment horizontal="center" vertical="center"/>
    </xf>
    <xf numFmtId="0" fontId="0" fillId="0" borderId="0" xfId="0" applyAlignment="1">
      <alignment horizontal="center" vertical="center"/>
    </xf>
  </cellXfs>
  <cellStyles count="4">
    <cellStyle name="パーセント" xfId="2" builtinId="5"/>
    <cellStyle name="ハイパーリンク" xfId="3" builtinId="8"/>
    <cellStyle name="桁区切り" xfId="1" builtinId="6"/>
    <cellStyle name="標準" xfId="0" builtinId="0"/>
  </cellStyles>
  <dxfs count="4">
    <dxf>
      <font>
        <color theme="1" tint="0.499984740745262"/>
      </font>
      <fill>
        <patternFill>
          <bgColor theme="2" tint="-9.9948118533890809E-2"/>
        </patternFill>
      </fill>
    </dxf>
    <dxf>
      <font>
        <color theme="1" tint="0.499984740745262"/>
      </font>
      <fill>
        <patternFill>
          <bgColor theme="2" tint="-9.9948118533890809E-2"/>
        </patternFill>
      </fill>
    </dxf>
    <dxf>
      <font>
        <color theme="0" tint="-4.9989318521683403E-2"/>
      </font>
      <fill>
        <patternFill>
          <bgColor theme="0" tint="-4.9989318521683403E-2"/>
        </patternFill>
      </fill>
      <border>
        <left/>
        <right/>
        <top/>
        <bottom/>
        <vertical/>
        <horizontal/>
      </border>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tondabayashi.lg.jp/site/kazei/43321.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tabSelected="1" topLeftCell="A5" workbookViewId="0">
      <selection activeCell="H12" sqref="H12"/>
    </sheetView>
  </sheetViews>
  <sheetFormatPr defaultRowHeight="13.5" x14ac:dyDescent="0.4"/>
  <cols>
    <col min="1" max="1" width="14.625" style="7" customWidth="1"/>
    <col min="2" max="2" width="18.875" style="7" customWidth="1"/>
    <col min="3" max="4" width="17.5" style="7" customWidth="1"/>
    <col min="5" max="5" width="17.875" style="7" customWidth="1"/>
    <col min="6" max="6" width="16.25" style="7" customWidth="1"/>
    <col min="7" max="16384" width="9" style="7"/>
  </cols>
  <sheetData>
    <row r="1" spans="1:6" x14ac:dyDescent="0.4">
      <c r="A1" s="7" t="s">
        <v>46</v>
      </c>
    </row>
    <row r="2" spans="1:6" ht="6.75" customHeight="1" x14ac:dyDescent="0.4"/>
    <row r="3" spans="1:6" x14ac:dyDescent="0.4">
      <c r="A3" s="10" t="s">
        <v>47</v>
      </c>
      <c r="B3" s="10"/>
      <c r="C3" s="10"/>
      <c r="D3" s="10"/>
      <c r="E3" s="10"/>
      <c r="F3" s="10"/>
    </row>
    <row r="4" spans="1:6" x14ac:dyDescent="0.4">
      <c r="A4" s="10" t="s">
        <v>48</v>
      </c>
      <c r="B4" s="10"/>
      <c r="C4" s="10"/>
      <c r="D4" s="10"/>
      <c r="E4" s="10"/>
      <c r="F4" s="10"/>
    </row>
    <row r="5" spans="1:6" x14ac:dyDescent="0.4">
      <c r="A5" s="10" t="s">
        <v>49</v>
      </c>
      <c r="B5" s="10"/>
      <c r="C5" s="10"/>
      <c r="D5" s="10"/>
      <c r="E5" s="10"/>
      <c r="F5" s="10"/>
    </row>
    <row r="6" spans="1:6" ht="123.75" customHeight="1" x14ac:dyDescent="0.4">
      <c r="A6" s="38" t="s">
        <v>67</v>
      </c>
      <c r="B6" s="38"/>
      <c r="C6" s="38"/>
      <c r="D6" s="38"/>
      <c r="E6" s="38"/>
      <c r="F6" s="38"/>
    </row>
    <row r="8" spans="1:6" ht="24" customHeight="1" x14ac:dyDescent="0.4">
      <c r="A8" s="32" t="s">
        <v>70</v>
      </c>
      <c r="B8" s="23" t="s">
        <v>50</v>
      </c>
    </row>
    <row r="9" spans="1:6" ht="26.25" customHeight="1" x14ac:dyDescent="0.4">
      <c r="A9" s="41" t="s">
        <v>51</v>
      </c>
      <c r="B9" s="41"/>
      <c r="C9" s="41"/>
      <c r="D9" s="41"/>
      <c r="E9" s="41"/>
    </row>
    <row r="10" spans="1:6" ht="51" customHeight="1" x14ac:dyDescent="0.4">
      <c r="A10" s="39" t="s">
        <v>66</v>
      </c>
      <c r="B10" s="40"/>
      <c r="C10" s="40"/>
      <c r="D10" s="40"/>
      <c r="E10" s="40"/>
    </row>
    <row r="11" spans="1:6" ht="24" customHeight="1" x14ac:dyDescent="0.4">
      <c r="A11" s="42" t="s">
        <v>52</v>
      </c>
      <c r="B11" s="42"/>
      <c r="C11" s="42"/>
      <c r="D11" s="42"/>
      <c r="E11" s="42"/>
    </row>
    <row r="12" spans="1:6" ht="115.5" customHeight="1" x14ac:dyDescent="0.4">
      <c r="A12" s="43" t="s">
        <v>64</v>
      </c>
      <c r="B12" s="44"/>
      <c r="C12" s="44"/>
      <c r="D12" s="44"/>
      <c r="E12" s="44"/>
    </row>
    <row r="13" spans="1:6" ht="17.25" customHeight="1" x14ac:dyDescent="0.4">
      <c r="A13" s="33" t="s">
        <v>56</v>
      </c>
      <c r="B13" s="33"/>
      <c r="C13" s="33"/>
      <c r="D13" s="33"/>
      <c r="E13" s="33"/>
    </row>
    <row r="14" spans="1:6" ht="34.5" customHeight="1" x14ac:dyDescent="0.4">
      <c r="A14" s="34" t="s">
        <v>65</v>
      </c>
      <c r="B14" s="34"/>
      <c r="C14" s="34"/>
      <c r="D14" s="34"/>
      <c r="E14" s="34"/>
    </row>
    <row r="15" spans="1:6" s="9" customFormat="1" ht="15.75" customHeight="1" x14ac:dyDescent="0.4">
      <c r="A15" s="19"/>
      <c r="B15" s="19" t="s">
        <v>53</v>
      </c>
      <c r="C15" s="19" t="s">
        <v>57</v>
      </c>
      <c r="D15" s="19" t="s">
        <v>54</v>
      </c>
      <c r="E15" s="19" t="s">
        <v>60</v>
      </c>
    </row>
    <row r="16" spans="1:6" ht="15.75" customHeight="1" x14ac:dyDescent="0.4">
      <c r="A16" s="19" t="s">
        <v>0</v>
      </c>
      <c r="B16" s="30" t="s">
        <v>7</v>
      </c>
      <c r="C16" s="31">
        <v>0</v>
      </c>
      <c r="D16" s="30" t="s">
        <v>45</v>
      </c>
      <c r="E16" s="30" t="s">
        <v>45</v>
      </c>
      <c r="F16" s="24"/>
    </row>
    <row r="17" spans="1:6" ht="15.75" customHeight="1" x14ac:dyDescent="0.4">
      <c r="A17" s="19" t="s">
        <v>1</v>
      </c>
      <c r="B17" s="30" t="s">
        <v>7</v>
      </c>
      <c r="C17" s="31">
        <v>0</v>
      </c>
      <c r="D17" s="30" t="s">
        <v>45</v>
      </c>
      <c r="E17" s="30" t="s">
        <v>45</v>
      </c>
      <c r="F17" s="24"/>
    </row>
    <row r="18" spans="1:6" ht="15.75" customHeight="1" x14ac:dyDescent="0.4">
      <c r="A18" s="19" t="s">
        <v>2</v>
      </c>
      <c r="B18" s="30" t="s">
        <v>7</v>
      </c>
      <c r="C18" s="31">
        <v>0</v>
      </c>
      <c r="D18" s="30" t="s">
        <v>45</v>
      </c>
      <c r="E18" s="30" t="s">
        <v>45</v>
      </c>
      <c r="F18" s="24"/>
    </row>
    <row r="19" spans="1:6" ht="15.75" customHeight="1" x14ac:dyDescent="0.4">
      <c r="A19" s="19" t="s">
        <v>3</v>
      </c>
      <c r="B19" s="30" t="s">
        <v>7</v>
      </c>
      <c r="C19" s="31">
        <v>0</v>
      </c>
      <c r="D19" s="30" t="s">
        <v>45</v>
      </c>
      <c r="E19" s="30" t="s">
        <v>45</v>
      </c>
      <c r="F19" s="24"/>
    </row>
    <row r="20" spans="1:6" ht="15.75" customHeight="1" x14ac:dyDescent="0.4">
      <c r="A20" s="19" t="s">
        <v>4</v>
      </c>
      <c r="B20" s="30" t="s">
        <v>7</v>
      </c>
      <c r="C20" s="31">
        <v>0</v>
      </c>
      <c r="D20" s="30" t="s">
        <v>45</v>
      </c>
      <c r="E20" s="30" t="s">
        <v>45</v>
      </c>
      <c r="F20" s="24"/>
    </row>
    <row r="21" spans="1:6" ht="15.75" customHeight="1" x14ac:dyDescent="0.4">
      <c r="A21" s="19" t="s">
        <v>5</v>
      </c>
      <c r="B21" s="30" t="s">
        <v>7</v>
      </c>
      <c r="C21" s="31">
        <v>0</v>
      </c>
      <c r="D21" s="30" t="s">
        <v>45</v>
      </c>
      <c r="E21" s="30" t="s">
        <v>45</v>
      </c>
      <c r="F21" s="24"/>
    </row>
    <row r="22" spans="1:6" ht="15.75" customHeight="1" x14ac:dyDescent="0.4">
      <c r="D22" s="7" t="str">
        <f>IF(F28="","","↓賦課限度額を超過している為、調整されます。")</f>
        <v/>
      </c>
    </row>
    <row r="23" spans="1:6" s="9" customFormat="1" ht="15.75" customHeight="1" x14ac:dyDescent="0.4">
      <c r="A23" s="12"/>
      <c r="B23" s="13" t="s">
        <v>40</v>
      </c>
      <c r="C23" s="13" t="s">
        <v>41</v>
      </c>
      <c r="D23" s="13" t="s">
        <v>42</v>
      </c>
      <c r="E23" s="13" t="s">
        <v>39</v>
      </c>
    </row>
    <row r="24" spans="1:6" ht="15.75" customHeight="1" x14ac:dyDescent="0.4">
      <c r="A24" s="21" t="s">
        <v>13</v>
      </c>
      <c r="B24" s="11">
        <f>計算!G16</f>
        <v>0</v>
      </c>
      <c r="C24" s="11">
        <f>+計算!E16</f>
        <v>0</v>
      </c>
      <c r="D24" s="11">
        <f>計算!F15</f>
        <v>0</v>
      </c>
      <c r="E24" s="11">
        <f>IF(SUM(B24:D24)&gt;660000,660000,SUM(B24:D24))</f>
        <v>0</v>
      </c>
      <c r="F24" s="25" t="str">
        <f>IF(SUM(B24:D24)&gt;660000,"賦課限度額超過","")</f>
        <v/>
      </c>
    </row>
    <row r="25" spans="1:6" ht="15.75" customHeight="1" x14ac:dyDescent="0.4">
      <c r="A25" s="20" t="s">
        <v>55</v>
      </c>
      <c r="B25" s="11">
        <f>計算!J16</f>
        <v>0</v>
      </c>
      <c r="C25" s="11">
        <f>計算!H16</f>
        <v>0</v>
      </c>
      <c r="D25" s="11">
        <f>計算!I15</f>
        <v>0</v>
      </c>
      <c r="E25" s="11">
        <f>IF(SUM(B25:D25)&gt;260000,260000,SUM(B25:D25))</f>
        <v>0</v>
      </c>
      <c r="F25" s="25" t="str">
        <f>IF(SUM(B25:D25)&gt;260000,"賦課限度額超過","")</f>
        <v/>
      </c>
    </row>
    <row r="26" spans="1:6" ht="15.75" customHeight="1" x14ac:dyDescent="0.4">
      <c r="A26" s="21" t="s">
        <v>15</v>
      </c>
      <c r="B26" s="26" t="s">
        <v>68</v>
      </c>
      <c r="C26" s="11">
        <f>+計算!K16</f>
        <v>0</v>
      </c>
      <c r="D26" s="11">
        <f>計算!L15</f>
        <v>0</v>
      </c>
      <c r="E26" s="11">
        <f>IF(SUM(B26:D26)&gt;170000,170000,SUM(B26:D26))</f>
        <v>0</v>
      </c>
      <c r="F26" s="25" t="str">
        <f>IF(SUM(B26:D26)&gt;170000,"賦課限度額超過","")</f>
        <v/>
      </c>
    </row>
    <row r="27" spans="1:6" ht="15.75" customHeight="1" x14ac:dyDescent="0.4">
      <c r="A27" s="21" t="s">
        <v>61</v>
      </c>
      <c r="B27" s="26" t="s">
        <v>69</v>
      </c>
      <c r="C27" s="11">
        <f>+計算!M16</f>
        <v>0</v>
      </c>
      <c r="D27" s="11">
        <f>+計算!N15</f>
        <v>0</v>
      </c>
      <c r="E27" s="11">
        <f>IF(SUM(B27:D27)&gt;30000,30000,SUM(B27:D27))</f>
        <v>0</v>
      </c>
      <c r="F27" s="25"/>
    </row>
    <row r="28" spans="1:6" ht="15.75" customHeight="1" x14ac:dyDescent="0.4">
      <c r="A28" s="21" t="s">
        <v>23</v>
      </c>
      <c r="B28" s="11">
        <f>SUM(B24:B26)</f>
        <v>0</v>
      </c>
      <c r="C28" s="11">
        <f>SUM(C24:C27)</f>
        <v>0</v>
      </c>
      <c r="D28" s="11">
        <f>SUM(D24:D27)</f>
        <v>0</v>
      </c>
      <c r="E28" s="11">
        <f>SUM(E24:E27)</f>
        <v>0</v>
      </c>
      <c r="F28" s="25" t="str">
        <f>IF(OR(F24="賦課限度額超過",F25="賦課限度額超過",F26="賦課限度額超過"),"賦課限度額超過","")</f>
        <v/>
      </c>
    </row>
    <row r="29" spans="1:6" ht="6" customHeight="1" x14ac:dyDescent="0.4">
      <c r="A29" s="14"/>
      <c r="B29" s="15"/>
      <c r="C29" s="15"/>
      <c r="D29" s="16"/>
      <c r="E29" s="16"/>
    </row>
    <row r="30" spans="1:6" ht="15.75" customHeight="1" x14ac:dyDescent="0.4">
      <c r="A30" s="37" t="str">
        <f>IF(計算!B3=0,"",IF(計算!B4=1,"","平等割額及び均等割額の法定軽減割合"))</f>
        <v/>
      </c>
      <c r="B30" s="37"/>
      <c r="C30" s="37"/>
      <c r="D30" s="22" t="str">
        <f>IF(計算!B3=0,"",IF(計算!B4=1,"",10-計算!B4*10))</f>
        <v/>
      </c>
    </row>
    <row r="31" spans="1:6" ht="16.5" customHeight="1" thickBot="1" x14ac:dyDescent="0.45">
      <c r="A31" s="8"/>
      <c r="B31" s="8"/>
      <c r="C31" s="8"/>
    </row>
    <row r="32" spans="1:6" ht="15.75" customHeight="1" x14ac:dyDescent="0.4">
      <c r="C32" s="45" t="s">
        <v>43</v>
      </c>
      <c r="D32" s="46"/>
      <c r="E32" s="17">
        <f>+E28</f>
        <v>0</v>
      </c>
    </row>
    <row r="33" spans="3:5" ht="15.75" customHeight="1" thickBot="1" x14ac:dyDescent="0.45">
      <c r="C33" s="35" t="s">
        <v>44</v>
      </c>
      <c r="D33" s="36"/>
      <c r="E33" s="18">
        <f>+E32/12</f>
        <v>0</v>
      </c>
    </row>
  </sheetData>
  <sheetProtection algorithmName="SHA-512" hashValue="R921oS4JZ3iGh6k1ns6TGxl+/tjYRcciHoD/OwqVjs0c2QXh7klJjOd2x1kolPUrsbd48PHRfL08LvsaKXSsAQ==" saltValue="C3d0lOpoK7f24N5AYxcBIQ==" spinCount="100000" sheet="1" objects="1" scenarios="1"/>
  <mergeCells count="10">
    <mergeCell ref="A13:E13"/>
    <mergeCell ref="A14:E14"/>
    <mergeCell ref="C33:D33"/>
    <mergeCell ref="A30:C30"/>
    <mergeCell ref="A6:F6"/>
    <mergeCell ref="A10:E10"/>
    <mergeCell ref="A9:E9"/>
    <mergeCell ref="A11:E11"/>
    <mergeCell ref="A12:E12"/>
    <mergeCell ref="C32:D32"/>
  </mergeCells>
  <phoneticPr fontId="2"/>
  <conditionalFormatting sqref="A10:E10">
    <cfRule type="expression" dxfId="3" priority="7">
      <formula>$A$8="☑"</formula>
    </cfRule>
  </conditionalFormatting>
  <conditionalFormatting sqref="A11:E35">
    <cfRule type="expression" dxfId="2" priority="1">
      <formula>$A$8="□"</formula>
    </cfRule>
  </conditionalFormatting>
  <conditionalFormatting sqref="C28:D28">
    <cfRule type="expression" dxfId="1" priority="2">
      <formula>$F$24="賦課限度額超過"</formula>
    </cfRule>
  </conditionalFormatting>
  <conditionalFormatting sqref="D24:D27">
    <cfRule type="expression" dxfId="0" priority="3">
      <formula>$F$24="賦課限度額超過"</formula>
    </cfRule>
  </conditionalFormatting>
  <dataValidations count="2">
    <dataValidation type="list" allowBlank="1" showInputMessage="1" showErrorMessage="1" sqref="D16:E21">
      <formula1>"該当する,該当しない"</formula1>
    </dataValidation>
    <dataValidation type="list" allowBlank="1" showInputMessage="1" showErrorMessage="1" sqref="A8">
      <formula1>"□,☑"</formula1>
    </dataValidation>
  </dataValidations>
  <hyperlinks>
    <hyperlink ref="A13:E13" r:id="rId1" display="https://www.city.tondabayashi.lg.jp/site/kazei/43321.html"/>
  </hyperlinks>
  <pageMargins left="0.25" right="0.25" top="0.75" bottom="0.75" header="0.3" footer="0.3"/>
  <pageSetup paperSize="9" scale="88"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料率等!$A$9:$A$13</xm:f>
          </x14:formula1>
          <xm:sqref>B16:B21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C7" workbookViewId="0">
      <selection activeCell="N15" activeCellId="9" sqref="E16 F15 G16 H16 I15 J16 K16 L15 M16 N15"/>
    </sheetView>
  </sheetViews>
  <sheetFormatPr defaultRowHeight="18.75" x14ac:dyDescent="0.4"/>
  <cols>
    <col min="1" max="1" width="15.125" bestFit="1" customWidth="1"/>
    <col min="2" max="3" width="20.625" customWidth="1"/>
    <col min="4" max="4" width="13" bestFit="1" customWidth="1"/>
    <col min="5" max="6" width="9.5" bestFit="1" customWidth="1"/>
  </cols>
  <sheetData>
    <row r="1" spans="1:14" x14ac:dyDescent="0.4">
      <c r="D1" t="s">
        <v>36</v>
      </c>
      <c r="E1" t="s">
        <v>37</v>
      </c>
      <c r="F1" t="s">
        <v>38</v>
      </c>
    </row>
    <row r="2" spans="1:14" x14ac:dyDescent="0.4">
      <c r="A2" t="s">
        <v>31</v>
      </c>
      <c r="B2">
        <f>IF(COUNTIF(保険料試算シート!D16:D21,"該当する")-1&lt;0,0,COUNTIF(保険料試算シート!D16:D21,"該当する")-1)</f>
        <v>0</v>
      </c>
      <c r="D2" s="1">
        <f>HLOOKUP(B3,料率等!B16:F19,2,FALSE)+B2*100000</f>
        <v>430000</v>
      </c>
      <c r="E2" s="1">
        <f>HLOOKUP(B3,料率等!B16:F19,3,FALSE)+B2*100000</f>
        <v>735000</v>
      </c>
      <c r="F2" s="1">
        <f>HLOOKUP(B3,料率等!B16:F19,4,FALSE)+B2*100000</f>
        <v>990000</v>
      </c>
    </row>
    <row r="3" spans="1:14" x14ac:dyDescent="0.4">
      <c r="A3" t="s">
        <v>32</v>
      </c>
      <c r="B3">
        <f>6-COUNTIF(保険料試算シート!B16:B21,"加入しない")</f>
        <v>0</v>
      </c>
    </row>
    <row r="4" spans="1:14" x14ac:dyDescent="0.4">
      <c r="A4" s="1" t="s">
        <v>28</v>
      </c>
      <c r="B4" s="6">
        <f>IF(B2+B3&lt;0,0,IF(B5&lt;D2,0.3,IF(B5&lt;E2,0.5,IF(B5&lt;F2,0.8,1))))</f>
        <v>0.3</v>
      </c>
      <c r="C4" s="6"/>
    </row>
    <row r="5" spans="1:14" x14ac:dyDescent="0.4">
      <c r="A5" t="s">
        <v>58</v>
      </c>
      <c r="B5" s="1">
        <f>SUM(D9:D14)</f>
        <v>0</v>
      </c>
      <c r="C5" s="1"/>
    </row>
    <row r="6" spans="1:14" x14ac:dyDescent="0.4">
      <c r="A6" s="1"/>
      <c r="B6" s="1"/>
      <c r="C6" s="1"/>
    </row>
    <row r="7" spans="1:14" x14ac:dyDescent="0.4">
      <c r="D7" s="3"/>
      <c r="E7" s="47" t="s">
        <v>13</v>
      </c>
      <c r="F7" s="47"/>
      <c r="G7" s="47"/>
      <c r="H7" s="47" t="s">
        <v>18</v>
      </c>
      <c r="I7" s="47"/>
      <c r="J7" s="47"/>
      <c r="K7" s="47" t="s">
        <v>19</v>
      </c>
      <c r="L7" s="47"/>
      <c r="M7" s="47" t="s">
        <v>63</v>
      </c>
      <c r="N7" s="47"/>
    </row>
    <row r="8" spans="1:14" x14ac:dyDescent="0.4">
      <c r="A8" s="3"/>
      <c r="B8" s="3" t="s">
        <v>6</v>
      </c>
      <c r="C8" s="3" t="s">
        <v>62</v>
      </c>
      <c r="D8" s="3" t="s">
        <v>26</v>
      </c>
      <c r="E8" s="3" t="s">
        <v>16</v>
      </c>
      <c r="F8" s="3" t="s">
        <v>17</v>
      </c>
      <c r="G8" s="3" t="s">
        <v>24</v>
      </c>
      <c r="H8" s="3" t="s">
        <v>16</v>
      </c>
      <c r="I8" s="3" t="s">
        <v>17</v>
      </c>
      <c r="J8" s="3" t="s">
        <v>24</v>
      </c>
      <c r="K8" s="3" t="s">
        <v>16</v>
      </c>
      <c r="L8" s="3" t="s">
        <v>17</v>
      </c>
      <c r="M8" s="3" t="s">
        <v>16</v>
      </c>
      <c r="N8" s="3" t="s">
        <v>17</v>
      </c>
    </row>
    <row r="9" spans="1:14" x14ac:dyDescent="0.4">
      <c r="A9" s="3" t="s">
        <v>0</v>
      </c>
      <c r="B9" s="3" t="str">
        <f>+保険料試算シート!B16</f>
        <v>加入しない</v>
      </c>
      <c r="C9" s="3" t="str">
        <f>+保険料試算シート!E16</f>
        <v>該当しない</v>
      </c>
      <c r="D9" s="4">
        <f>+保険料試算シート!C16</f>
        <v>0</v>
      </c>
      <c r="E9" s="4">
        <f>VLOOKUP(B9,料率等!$A$9:$D$13,2,FALSE)</f>
        <v>0</v>
      </c>
      <c r="F9" s="4">
        <f>IF(B9="加入しない",0,IF((D9-430000)&lt;0,0,(D9-430000)*料率等!$B$5))</f>
        <v>0</v>
      </c>
      <c r="G9" s="49">
        <f>IF(E15=0,0,料率等!D5)</f>
        <v>0</v>
      </c>
      <c r="H9" s="4">
        <f>VLOOKUP(B9,料率等!$A$9:$D$13,3,FALSE)</f>
        <v>0</v>
      </c>
      <c r="I9" s="4">
        <f>IF(B9="加入しない",0,IF((D9-430000)&lt;0,0,(D9-430000)*料率等!$E$5))</f>
        <v>0</v>
      </c>
      <c r="J9" s="49">
        <f>IF(H15=0,0,料率等!G5)</f>
        <v>0</v>
      </c>
      <c r="K9" s="4">
        <f>VLOOKUP(B9,料率等!$A$9:$D$13,4,FALSE)</f>
        <v>0</v>
      </c>
      <c r="L9" s="4">
        <f>IF(OR(B9="加入しない",B9="65歳から74歳まで"),0,IF((D9-430000)&lt;0,0,(D9-430000)*料率等!$H$5))</f>
        <v>0</v>
      </c>
      <c r="M9" s="4">
        <f>IF(C9="該当する",料率等!$K$5,0)</f>
        <v>0</v>
      </c>
      <c r="N9" s="4">
        <f>IF(C9="該当する",(D9-430000)*料率等!$J$5,0)</f>
        <v>0</v>
      </c>
    </row>
    <row r="10" spans="1:14" x14ac:dyDescent="0.4">
      <c r="A10" s="3" t="s">
        <v>1</v>
      </c>
      <c r="B10" s="3" t="str">
        <f>+保険料試算シート!B17</f>
        <v>加入しない</v>
      </c>
      <c r="C10" s="3" t="str">
        <f>+保険料試算シート!E17</f>
        <v>該当しない</v>
      </c>
      <c r="D10" s="4">
        <f>+保険料試算シート!C17</f>
        <v>0</v>
      </c>
      <c r="E10" s="4">
        <f>VLOOKUP(B10,料率等!$A$9:$D$13,2,FALSE)</f>
        <v>0</v>
      </c>
      <c r="F10" s="4">
        <f>IF(B10="加入しない",0,IF((D10-430000)&lt;0,0,(D10-430000)*料率等!$B$5))</f>
        <v>0</v>
      </c>
      <c r="G10" s="49"/>
      <c r="H10" s="4">
        <f>VLOOKUP(B10,料率等!$A$9:$D$13,3,FALSE)</f>
        <v>0</v>
      </c>
      <c r="I10" s="4">
        <f>IF(B10="加入しない",0,IF((D10-430000)&lt;0,0,(D10-430000)*料率等!$E$5))</f>
        <v>0</v>
      </c>
      <c r="J10" s="49"/>
      <c r="K10" s="4">
        <f>VLOOKUP(B10,料率等!$A$9:$D$13,4,FALSE)</f>
        <v>0</v>
      </c>
      <c r="L10" s="4">
        <f>IF(B10="加入しない",0,IF((D10-430000)&lt;0,0,(D10-430000)*料率等!$H$5))</f>
        <v>0</v>
      </c>
      <c r="M10" s="4">
        <f>IF(C10="該当する",料率等!$K$5,0)</f>
        <v>0</v>
      </c>
      <c r="N10" s="4">
        <f>IF(C10="該当する",D10*料率等!$J$5,0)</f>
        <v>0</v>
      </c>
    </row>
    <row r="11" spans="1:14" x14ac:dyDescent="0.4">
      <c r="A11" s="3" t="s">
        <v>2</v>
      </c>
      <c r="B11" s="3" t="str">
        <f>+保険料試算シート!B18</f>
        <v>加入しない</v>
      </c>
      <c r="C11" s="3" t="str">
        <f>+保険料試算シート!E18</f>
        <v>該当しない</v>
      </c>
      <c r="D11" s="4">
        <f>+保険料試算シート!C18</f>
        <v>0</v>
      </c>
      <c r="E11" s="4">
        <f>VLOOKUP(B11,料率等!$A$9:$D$13,2,FALSE)</f>
        <v>0</v>
      </c>
      <c r="F11" s="4">
        <f>IF(B11="加入しない",0,IF((D11-430000)&lt;0,0,(D11-430000)*料率等!$B$5))</f>
        <v>0</v>
      </c>
      <c r="G11" s="49"/>
      <c r="H11" s="4">
        <f>VLOOKUP(B11,料率等!$A$9:$D$13,3,FALSE)</f>
        <v>0</v>
      </c>
      <c r="I11" s="4">
        <f>IF(B11="加入しない",0,IF((D11-430000)&lt;0,0,(D11-430000)*料率等!$E$5))</f>
        <v>0</v>
      </c>
      <c r="J11" s="49"/>
      <c r="K11" s="4">
        <f>VLOOKUP(B11,料率等!$A$9:$D$13,4,FALSE)</f>
        <v>0</v>
      </c>
      <c r="L11" s="4">
        <f>IF(B11="加入しない",0,IF((D11-430000)&lt;0,0,(D11-430000)*料率等!$H$5))</f>
        <v>0</v>
      </c>
      <c r="M11" s="3">
        <f>IF(C11="該当する",料率等!$K$5,0)</f>
        <v>0</v>
      </c>
      <c r="N11" s="3">
        <f>IF(C11="該当する",D11*料率等!$J$5,0)</f>
        <v>0</v>
      </c>
    </row>
    <row r="12" spans="1:14" x14ac:dyDescent="0.4">
      <c r="A12" s="3" t="s">
        <v>3</v>
      </c>
      <c r="B12" s="3" t="str">
        <f>+保険料試算シート!B19</f>
        <v>加入しない</v>
      </c>
      <c r="C12" s="3" t="str">
        <f>+保険料試算シート!E19</f>
        <v>該当しない</v>
      </c>
      <c r="D12" s="4">
        <f>+保険料試算シート!C19</f>
        <v>0</v>
      </c>
      <c r="E12" s="4">
        <f>VLOOKUP(B12,料率等!$A$9:$D$13,2,FALSE)</f>
        <v>0</v>
      </c>
      <c r="F12" s="4">
        <f>IF(B12="加入しない",0,IF((D12-430000)&lt;0,0,(D12-430000)*料率等!$B$5))</f>
        <v>0</v>
      </c>
      <c r="G12" s="49"/>
      <c r="H12" s="4">
        <f>VLOOKUP(B12,料率等!$A$9:$D$13,3,FALSE)</f>
        <v>0</v>
      </c>
      <c r="I12" s="4">
        <f>IF(B12="加入しない",0,IF((D12-430000)&lt;0,0,(D12-430000)*料率等!$E$5))</f>
        <v>0</v>
      </c>
      <c r="J12" s="49"/>
      <c r="K12" s="4">
        <f>VLOOKUP(B12,料率等!$A$9:$D$13,4,FALSE)</f>
        <v>0</v>
      </c>
      <c r="L12" s="4">
        <f>IF(B12="加入しない",0,IF((D12-430000)&lt;0,0,(D12-430000)*料率等!$H$5))</f>
        <v>0</v>
      </c>
      <c r="M12" s="3">
        <f>IF(C12="該当する",料率等!$K$5,0)</f>
        <v>0</v>
      </c>
      <c r="N12" s="3">
        <f>IF(C12="該当する",D12*料率等!$J$5,0)</f>
        <v>0</v>
      </c>
    </row>
    <row r="13" spans="1:14" x14ac:dyDescent="0.4">
      <c r="A13" s="3" t="s">
        <v>4</v>
      </c>
      <c r="B13" s="3" t="str">
        <f>+保険料試算シート!B20</f>
        <v>加入しない</v>
      </c>
      <c r="C13" s="3" t="str">
        <f>+保険料試算シート!E20</f>
        <v>該当しない</v>
      </c>
      <c r="D13" s="4">
        <f>+保険料試算シート!C20</f>
        <v>0</v>
      </c>
      <c r="E13" s="4">
        <f>VLOOKUP(B13,料率等!$A$9:$D$13,2,FALSE)</f>
        <v>0</v>
      </c>
      <c r="F13" s="4">
        <f>IF(B13="加入しない",0,IF((D13-430000)&lt;0,0,(D13-430000)*料率等!$B$5))</f>
        <v>0</v>
      </c>
      <c r="G13" s="49"/>
      <c r="H13" s="4">
        <f>VLOOKUP(B13,料率等!$A$9:$D$13,3,FALSE)</f>
        <v>0</v>
      </c>
      <c r="I13" s="4">
        <f>IF(B13="加入しない",0,IF((D13-430000)&lt;0,0,(D13-430000)*料率等!$E$5))</f>
        <v>0</v>
      </c>
      <c r="J13" s="49"/>
      <c r="K13" s="4">
        <f>VLOOKUP(B13,料率等!$A$9:$D$13,4,FALSE)</f>
        <v>0</v>
      </c>
      <c r="L13" s="4">
        <f>IF(B13="加入しない",0,IF((D13-430000)&lt;0,0,(D13-430000)*料率等!$H$5))</f>
        <v>0</v>
      </c>
      <c r="M13" s="3">
        <f>IF(C13="該当する",料率等!$K$5,0)</f>
        <v>0</v>
      </c>
      <c r="N13" s="3">
        <f>IF(C13="該当する",D13*料率等!$J$5,0)</f>
        <v>0</v>
      </c>
    </row>
    <row r="14" spans="1:14" x14ac:dyDescent="0.4">
      <c r="A14" s="3" t="s">
        <v>5</v>
      </c>
      <c r="B14" s="3" t="str">
        <f>+保険料試算シート!B21</f>
        <v>加入しない</v>
      </c>
      <c r="C14" s="3" t="str">
        <f>+保険料試算シート!E21</f>
        <v>該当しない</v>
      </c>
      <c r="D14" s="4">
        <f>+保険料試算シート!C21</f>
        <v>0</v>
      </c>
      <c r="E14" s="4">
        <f>VLOOKUP(B14,料率等!$A$9:$D$13,2,FALSE)</f>
        <v>0</v>
      </c>
      <c r="F14" s="4">
        <f>IF(B14="加入しない",0,IF((D14-430000)&lt;0,0,(D14-430000)*料率等!$B$5))</f>
        <v>0</v>
      </c>
      <c r="G14" s="49"/>
      <c r="H14" s="4">
        <f>VLOOKUP(B14,料率等!$A$9:$D$13,3,FALSE)</f>
        <v>0</v>
      </c>
      <c r="I14" s="4">
        <f>IF(B14="加入しない",0,IF((D14-430000)&lt;0,0,(D14-430000)*料率等!$E$5))</f>
        <v>0</v>
      </c>
      <c r="J14" s="49"/>
      <c r="K14" s="4">
        <f>VLOOKUP(B14,料率等!$A$9:$D$13,4,FALSE)</f>
        <v>0</v>
      </c>
      <c r="L14" s="4">
        <f>IF(B14="加入しない",0,IF((D14-430000)&lt;0,0,(D14-430000)*料率等!$H$5))</f>
        <v>0</v>
      </c>
      <c r="M14" s="3">
        <f>IF(C14="該当する",料率等!$K$5,0)</f>
        <v>0</v>
      </c>
      <c r="N14" s="3">
        <f>IF(C14="該当する",D14*料率等!$J$5,0)</f>
        <v>0</v>
      </c>
    </row>
    <row r="15" spans="1:14" s="1" customFormat="1" x14ac:dyDescent="0.4">
      <c r="B15" s="29" t="s">
        <v>25</v>
      </c>
      <c r="C15" s="28"/>
      <c r="D15" s="4">
        <f>SUM(D9:D14)</f>
        <v>0</v>
      </c>
      <c r="E15" s="4">
        <f>SUM(E9:E14)</f>
        <v>0</v>
      </c>
      <c r="F15" s="4">
        <f t="shared" ref="F15" si="0">SUM(F9:F14)</f>
        <v>0</v>
      </c>
      <c r="G15" s="4">
        <f t="shared" ref="G15" si="1">SUM(G9:G14)</f>
        <v>0</v>
      </c>
      <c r="H15" s="4">
        <f t="shared" ref="H15" si="2">SUM(H9:H14)</f>
        <v>0</v>
      </c>
      <c r="I15" s="4">
        <f t="shared" ref="I15" si="3">SUM(I9:I14)</f>
        <v>0</v>
      </c>
      <c r="J15" s="4">
        <f t="shared" ref="J15" si="4">SUM(J9:J14)</f>
        <v>0</v>
      </c>
      <c r="K15" s="4">
        <f t="shared" ref="K15" si="5">SUM(K9:K14)</f>
        <v>0</v>
      </c>
      <c r="L15" s="4">
        <f t="shared" ref="L15" si="6">SUM(L9:L14)</f>
        <v>0</v>
      </c>
      <c r="M15" s="4">
        <f>SUM(M9:M14)</f>
        <v>0</v>
      </c>
      <c r="N15" s="4">
        <f>SUM(N9:N14)</f>
        <v>0</v>
      </c>
    </row>
    <row r="16" spans="1:14" s="1" customFormat="1" x14ac:dyDescent="0.4">
      <c r="D16" s="4" t="s">
        <v>29</v>
      </c>
      <c r="E16" s="4">
        <f>IF(B2+B3&lt;0,0,ROUNDDOWN(E15*$B$4,0))</f>
        <v>0</v>
      </c>
      <c r="F16" s="27"/>
      <c r="G16" s="4">
        <f>IF(B2+B3&lt;0,0,ROUNDDOWN(G15*$B$4,0))</f>
        <v>0</v>
      </c>
      <c r="H16" s="4">
        <f>IF(B2+B3&lt;0,0,ROUNDDOWN(H15*$B$4,0))</f>
        <v>0</v>
      </c>
      <c r="I16" s="27"/>
      <c r="J16" s="4">
        <f>IF(B2+B3&lt;0,0,ROUNDDOWN(J15*$B$4,0))</f>
        <v>0</v>
      </c>
      <c r="K16" s="4">
        <f>IF(B2+B3&lt;0,0,ROUNDDOWN(K15*$B$4,0))</f>
        <v>0</v>
      </c>
      <c r="L16" s="27"/>
      <c r="M16" s="4">
        <f>IF(B2+B3&lt;0,0,ROUNDDOWN(M15*$B$4,0))</f>
        <v>0</v>
      </c>
      <c r="N16" s="4"/>
    </row>
    <row r="17" spans="4:12" x14ac:dyDescent="0.4">
      <c r="D17" s="3" t="s">
        <v>23</v>
      </c>
      <c r="E17" s="48">
        <f>SUM(E15:G15)</f>
        <v>0</v>
      </c>
      <c r="F17" s="47"/>
      <c r="G17" s="47"/>
      <c r="H17" s="48">
        <f>SUM(H15:J15)</f>
        <v>0</v>
      </c>
      <c r="I17" s="47"/>
      <c r="J17" s="47"/>
      <c r="K17" s="48">
        <f>+K15+L15</f>
        <v>0</v>
      </c>
      <c r="L17" s="47"/>
    </row>
  </sheetData>
  <mergeCells count="9">
    <mergeCell ref="M7:N7"/>
    <mergeCell ref="E17:G17"/>
    <mergeCell ref="H17:J17"/>
    <mergeCell ref="K17:L17"/>
    <mergeCell ref="E7:G7"/>
    <mergeCell ref="G9:G14"/>
    <mergeCell ref="H7:J7"/>
    <mergeCell ref="K7:L7"/>
    <mergeCell ref="J9:J1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A7" workbookViewId="0">
      <selection activeCell="J6" sqref="J6"/>
    </sheetView>
  </sheetViews>
  <sheetFormatPr defaultRowHeight="18.75" x14ac:dyDescent="0.4"/>
  <cols>
    <col min="1" max="1" width="19.375" bestFit="1" customWidth="1"/>
    <col min="2" max="2" width="8.125" bestFit="1" customWidth="1"/>
    <col min="3" max="5" width="9.5" bestFit="1" customWidth="1"/>
    <col min="6" max="6" width="9.625" bestFit="1" customWidth="1"/>
    <col min="7" max="8" width="7.125" bestFit="1" customWidth="1"/>
  </cols>
  <sheetData>
    <row r="1" spans="1:11" x14ac:dyDescent="0.4">
      <c r="A1" t="s">
        <v>59</v>
      </c>
    </row>
    <row r="2" spans="1:11" x14ac:dyDescent="0.4">
      <c r="B2" s="50" t="s">
        <v>20</v>
      </c>
      <c r="C2" s="50"/>
      <c r="D2" s="50"/>
      <c r="E2" s="50"/>
      <c r="F2" s="50"/>
      <c r="G2" s="50"/>
      <c r="H2" s="50"/>
      <c r="I2" s="50"/>
    </row>
    <row r="3" spans="1:11" x14ac:dyDescent="0.4">
      <c r="B3" s="47" t="s">
        <v>13</v>
      </c>
      <c r="C3" s="47"/>
      <c r="D3" s="47"/>
      <c r="E3" s="47" t="s">
        <v>18</v>
      </c>
      <c r="F3" s="47"/>
      <c r="G3" s="47"/>
      <c r="H3" s="47" t="s">
        <v>19</v>
      </c>
      <c r="I3" s="47"/>
      <c r="J3" s="47" t="s">
        <v>63</v>
      </c>
      <c r="K3" s="47"/>
    </row>
    <row r="4" spans="1:11" x14ac:dyDescent="0.4">
      <c r="B4" s="3" t="s">
        <v>22</v>
      </c>
      <c r="C4" s="3" t="s">
        <v>12</v>
      </c>
      <c r="D4" s="3" t="s">
        <v>21</v>
      </c>
      <c r="E4" s="3" t="s">
        <v>22</v>
      </c>
      <c r="F4" s="3" t="s">
        <v>12</v>
      </c>
      <c r="G4" s="3" t="s">
        <v>21</v>
      </c>
      <c r="H4" s="3" t="s">
        <v>22</v>
      </c>
      <c r="I4" s="3" t="s">
        <v>12</v>
      </c>
      <c r="J4" s="3" t="s">
        <v>22</v>
      </c>
      <c r="K4" s="3" t="s">
        <v>12</v>
      </c>
    </row>
    <row r="5" spans="1:11" x14ac:dyDescent="0.4">
      <c r="B5" s="5">
        <v>9.5000000000000001E-2</v>
      </c>
      <c r="C5" s="4">
        <v>34990</v>
      </c>
      <c r="D5" s="4">
        <v>33908</v>
      </c>
      <c r="E5" s="5">
        <v>3.0599999999999999E-2</v>
      </c>
      <c r="F5" s="4">
        <v>11191</v>
      </c>
      <c r="G5" s="4">
        <v>10845</v>
      </c>
      <c r="H5" s="5">
        <v>2.5999999999999999E-2</v>
      </c>
      <c r="I5" s="4">
        <v>18682</v>
      </c>
      <c r="J5" s="5">
        <v>2.8E-3</v>
      </c>
      <c r="K5" s="4">
        <v>1841</v>
      </c>
    </row>
    <row r="7" spans="1:11" x14ac:dyDescent="0.4">
      <c r="A7" s="47" t="s">
        <v>16</v>
      </c>
      <c r="B7" s="47"/>
      <c r="C7" s="47"/>
      <c r="D7" s="47"/>
    </row>
    <row r="8" spans="1:11" x14ac:dyDescent="0.4">
      <c r="A8" s="3" t="s">
        <v>6</v>
      </c>
      <c r="B8" s="3" t="s">
        <v>13</v>
      </c>
      <c r="C8" s="3" t="s">
        <v>14</v>
      </c>
      <c r="D8" s="3" t="s">
        <v>15</v>
      </c>
    </row>
    <row r="9" spans="1:11" x14ac:dyDescent="0.4">
      <c r="A9" s="3" t="s">
        <v>7</v>
      </c>
      <c r="B9" s="4">
        <v>0</v>
      </c>
      <c r="C9" s="4">
        <v>0</v>
      </c>
      <c r="D9" s="4">
        <v>0</v>
      </c>
    </row>
    <row r="10" spans="1:11" x14ac:dyDescent="0.4">
      <c r="A10" s="3" t="s">
        <v>8</v>
      </c>
      <c r="B10" s="4">
        <f>ROUNDDOWN(C5/2,0)</f>
        <v>17495</v>
      </c>
      <c r="C10" s="4">
        <f>ROUNDDOWN(F5/2,0)</f>
        <v>5595</v>
      </c>
      <c r="D10" s="4">
        <v>0</v>
      </c>
    </row>
    <row r="11" spans="1:11" x14ac:dyDescent="0.4">
      <c r="A11" s="3" t="s">
        <v>9</v>
      </c>
      <c r="B11" s="4">
        <f>+C5</f>
        <v>34990</v>
      </c>
      <c r="C11" s="4">
        <f>+F5</f>
        <v>11191</v>
      </c>
      <c r="D11" s="4">
        <v>0</v>
      </c>
    </row>
    <row r="12" spans="1:11" x14ac:dyDescent="0.4">
      <c r="A12" s="3" t="s">
        <v>10</v>
      </c>
      <c r="B12" s="4">
        <f>+C5</f>
        <v>34990</v>
      </c>
      <c r="C12" s="4">
        <f>+F5</f>
        <v>11191</v>
      </c>
      <c r="D12" s="4">
        <f>+I5</f>
        <v>18682</v>
      </c>
    </row>
    <row r="13" spans="1:11" x14ac:dyDescent="0.4">
      <c r="A13" s="3" t="s">
        <v>11</v>
      </c>
      <c r="B13" s="4">
        <f>+C5</f>
        <v>34990</v>
      </c>
      <c r="C13" s="4">
        <f>+F5</f>
        <v>11191</v>
      </c>
      <c r="D13" s="4">
        <v>0</v>
      </c>
    </row>
    <row r="15" spans="1:11" x14ac:dyDescent="0.4">
      <c r="A15" t="s">
        <v>27</v>
      </c>
    </row>
    <row r="16" spans="1:11" x14ac:dyDescent="0.4">
      <c r="A16" t="s">
        <v>30</v>
      </c>
      <c r="B16">
        <v>0</v>
      </c>
      <c r="C16">
        <v>1</v>
      </c>
      <c r="D16">
        <v>2</v>
      </c>
      <c r="E16">
        <v>3</v>
      </c>
      <c r="F16">
        <v>4</v>
      </c>
      <c r="G16">
        <v>5</v>
      </c>
    </row>
    <row r="17" spans="1:6" x14ac:dyDescent="0.4">
      <c r="A17" s="2" t="s">
        <v>33</v>
      </c>
      <c r="B17" s="1">
        <v>430000</v>
      </c>
      <c r="C17" s="1">
        <v>430000</v>
      </c>
      <c r="D17" s="1">
        <v>430000</v>
      </c>
      <c r="E17" s="1">
        <v>430000</v>
      </c>
      <c r="F17" s="1">
        <v>430000</v>
      </c>
    </row>
    <row r="18" spans="1:6" x14ac:dyDescent="0.4">
      <c r="A18" s="2" t="s">
        <v>34</v>
      </c>
      <c r="B18" s="1">
        <f>430000+305000</f>
        <v>735000</v>
      </c>
      <c r="C18" s="1">
        <f>+$B$18+(305000*C16)</f>
        <v>1040000</v>
      </c>
      <c r="D18" s="1">
        <f>+$B$18+(305000*D16)</f>
        <v>1345000</v>
      </c>
      <c r="E18" s="1">
        <f>+$B$18+(305000*E16)</f>
        <v>1650000</v>
      </c>
      <c r="F18" s="1">
        <f>+$B$18+(305000*F16)</f>
        <v>1955000</v>
      </c>
    </row>
    <row r="19" spans="1:6" x14ac:dyDescent="0.4">
      <c r="A19" s="2" t="s">
        <v>35</v>
      </c>
      <c r="B19" s="1">
        <f>430000+560000</f>
        <v>990000</v>
      </c>
      <c r="C19" s="1">
        <f>+$B$19+(560000*C16)</f>
        <v>1550000</v>
      </c>
      <c r="D19" s="1">
        <f>+$B$19+(560000*D16)</f>
        <v>2110000</v>
      </c>
      <c r="E19" s="1">
        <f>+$B$19+(560000*E16)</f>
        <v>2670000</v>
      </c>
      <c r="F19" s="1">
        <f>+$B$19+(560000*F16)</f>
        <v>3230000</v>
      </c>
    </row>
  </sheetData>
  <mergeCells count="6">
    <mergeCell ref="B2:I2"/>
    <mergeCell ref="J3:K3"/>
    <mergeCell ref="A7:D7"/>
    <mergeCell ref="B3:D3"/>
    <mergeCell ref="E3:G3"/>
    <mergeCell ref="H3:I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保険料試算シート</vt:lpstr>
      <vt:lpstr>計算</vt:lpstr>
      <vt:lpstr>料率等</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諏訪 優紀</dc:creator>
  <cp:lastModifiedBy>諏訪 優紀</cp:lastModifiedBy>
  <cp:lastPrinted>2025-12-23T06:19:18Z</cp:lastPrinted>
  <dcterms:created xsi:type="dcterms:W3CDTF">2024-12-18T04:48:12Z</dcterms:created>
  <dcterms:modified xsi:type="dcterms:W3CDTF">2026-05-20T10:40:17Z</dcterms:modified>
</cp:coreProperties>
</file>